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8" activeTab="0"/>
  </bookViews>
  <sheets>
    <sheet name="summary" sheetId="1" r:id="rId1"/>
    <sheet name="worksheet" sheetId="2" r:id="rId2"/>
    <sheet name="$perDALY" sheetId="3" r:id="rId3"/>
    <sheet name="DALYsperUS$1M" sheetId="4" r:id="rId4"/>
    <sheet name="ascariasis" sheetId="5" r:id="rId5"/>
    <sheet name="trichuriasis" sheetId="6" r:id="rId6"/>
    <sheet name="hookworm" sheetId="7" r:id="rId7"/>
    <sheet name="schisto" sheetId="8" r:id="rId8"/>
    <sheet name="population" sheetId="9" r:id="rId9"/>
    <sheet name="schisto.prev" sheetId="10" r:id="rId10"/>
    <sheet name="schisto.mort" sheetId="11" r:id="rId11"/>
    <sheet name="life.exp" sheetId="12" r:id="rId12"/>
    <sheet name="longtermdis.LAMI" sheetId="13" r:id="rId13"/>
    <sheet name="total.mortality" sheetId="14" r:id="rId14"/>
  </sheets>
  <externalReferences>
    <externalReference r:id="rId17"/>
  </externalReferences>
  <definedNames>
    <definedName name="discount.rate">'schisto'!$B$3</definedName>
    <definedName name="discount.rate1">'hookworm'!$B$3</definedName>
    <definedName name="duration">'schisto'!$B$4</definedName>
    <definedName name="duration1">'hookworm'!$B$4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C6" authorId="0">
      <text>
        <r>
          <rPr>
            <sz val="12"/>
            <rFont val="Times New Roman"/>
            <family val="1"/>
          </rPr>
          <t>Orginal author:
from Bennett and Guyatt 2000</t>
        </r>
      </text>
    </comment>
    <comment ref="D6" authorId="0">
      <text>
        <r>
          <rPr>
            <sz val="12"/>
            <rFont val="Times New Roman"/>
            <family val="1"/>
          </rPr>
          <t>Orginal author:
ascariasis, cotemporaneous cognitive deficit in WHO Global Burden of Disease</t>
        </r>
      </text>
    </comment>
    <comment ref="E6" authorId="0">
      <text>
        <r>
          <rPr>
            <sz val="12"/>
            <rFont val="Times New Roman"/>
            <family val="1"/>
          </rPr>
          <t>Orginal author:
ascariasis, cognitive impairment in WHO Global Burden of Disease</t>
        </r>
      </text>
    </comment>
    <comment ref="F6" authorId="0">
      <text>
        <r>
          <rPr>
            <sz val="12"/>
            <rFont val="Times New Roman"/>
            <family val="1"/>
          </rPr>
          <t>Orginal author:
ascariasis, intestinal obstruction in WHO Global Burden of Disease</t>
        </r>
      </text>
    </comment>
    <comment ref="A13" authorId="0">
      <text>
        <r>
          <rPr>
            <sz val="12"/>
            <rFont val="Times New Roman"/>
            <family val="1"/>
          </rPr>
          <t>Orginal author:
based on 11% of $0.95 cost for albendazole and PZQ, as reported in Guyatt 2003.  Assumes 100000 children and 350 schools (similar to the PCD study in Tanzania).</t>
        </r>
      </text>
    </comment>
    <comment ref="S21" authorId="0">
      <text>
        <r>
          <rPr>
            <sz val="12"/>
            <rFont val="Times New Roman"/>
            <family val="1"/>
          </rPr>
          <t>Orginal author:
div. By 20 b/e disability is only for 0.5 of year</t>
        </r>
      </text>
    </comment>
    <comment ref="T21" authorId="0">
      <text>
        <r>
          <rPr>
            <sz val="12"/>
            <rFont val="Times New Roman"/>
            <family val="1"/>
          </rPr>
          <t>Orginal author:
from tables 9-11, average of all data reported</t>
        </r>
      </text>
    </comment>
    <comment ref="K28" authorId="0">
      <text>
        <r>
          <rPr>
            <sz val="12"/>
            <rFont val="Times New Roman"/>
            <family val="1"/>
          </rPr>
          <t>Orginal author:
from table 9</t>
        </r>
      </text>
    </comment>
    <comment ref="S28" authorId="0">
      <text>
        <r>
          <rPr>
            <sz val="12"/>
            <rFont val="Times New Roman"/>
            <family val="1"/>
          </rPr>
          <t>Orginal author:
div. By 20 b/e disability is only for 0.5 of year</t>
        </r>
      </text>
    </comment>
    <comment ref="T28" authorId="0">
      <text>
        <r>
          <rPr>
            <sz val="12"/>
            <rFont val="Times New Roman"/>
            <family val="1"/>
          </rPr>
          <t>Orginal author:
from tables 9-11, average of China and Other Asia and Islands data</t>
        </r>
      </text>
    </comment>
    <comment ref="S35" authorId="0">
      <text>
        <r>
          <rPr>
            <sz val="12"/>
            <rFont val="Times New Roman"/>
            <family val="1"/>
          </rPr>
          <t>Orginal author:
div. By 20 b/e disability is only for 0.5 of year</t>
        </r>
      </text>
    </comment>
    <comment ref="T35" authorId="0">
      <text>
        <r>
          <rPr>
            <sz val="12"/>
            <rFont val="Times New Roman"/>
            <family val="1"/>
          </rPr>
          <t>Orginal author:
from tables 9-11, average of all data reported</t>
        </r>
      </text>
    </comment>
    <comment ref="K42" authorId="0">
      <text>
        <r>
          <rPr>
            <sz val="12"/>
            <rFont val="Times New Roman"/>
            <family val="1"/>
          </rPr>
          <t>Orginal author:
from table 9</t>
        </r>
      </text>
    </comment>
    <comment ref="S42" authorId="0">
      <text>
        <r>
          <rPr>
            <sz val="12"/>
            <rFont val="Times New Roman"/>
            <family val="1"/>
          </rPr>
          <t>Orginal author:
div. By 20 b/e disability is only for 0.5 of year</t>
        </r>
      </text>
    </comment>
    <comment ref="T42" authorId="0">
      <text>
        <r>
          <rPr>
            <sz val="12"/>
            <rFont val="Times New Roman"/>
            <family val="1"/>
          </rPr>
          <t>Orginal author:
from tables 9-11</t>
        </r>
      </text>
    </comment>
    <comment ref="K49" authorId="0">
      <text>
        <r>
          <rPr>
            <sz val="12"/>
            <rFont val="Times New Roman"/>
            <family val="1"/>
          </rPr>
          <t>Orginal author:
from table 9</t>
        </r>
      </text>
    </comment>
    <comment ref="S49" authorId="0">
      <text>
        <r>
          <rPr>
            <sz val="12"/>
            <rFont val="Times New Roman"/>
            <family val="1"/>
          </rPr>
          <t>Orginal author:
div. By 20 b/e disability is only for 0.5 of year</t>
        </r>
      </text>
    </comment>
    <comment ref="T49" authorId="0">
      <text>
        <r>
          <rPr>
            <sz val="12"/>
            <rFont val="Times New Roman"/>
            <family val="1"/>
          </rPr>
          <t>Orginal author:
from tables 9-11</t>
        </r>
      </text>
    </comment>
    <comment ref="K56" authorId="0">
      <text>
        <r>
          <rPr>
            <sz val="12"/>
            <rFont val="Times New Roman"/>
            <family val="1"/>
          </rPr>
          <t>Orginal author:
from table 9</t>
        </r>
      </text>
    </comment>
    <comment ref="S56" authorId="0">
      <text>
        <r>
          <rPr>
            <sz val="12"/>
            <rFont val="Times New Roman"/>
            <family val="1"/>
          </rPr>
          <t>Orginal author:
div. By 20 b/e disability is only for 0.5 of year</t>
        </r>
      </text>
    </comment>
    <comment ref="T56" authorId="0">
      <text>
        <r>
          <rPr>
            <sz val="12"/>
            <rFont val="Times New Roman"/>
            <family val="1"/>
          </rPr>
          <t>Orginal author:
from tables 9-11, India</t>
        </r>
      </text>
    </comment>
    <comment ref="K63" authorId="0">
      <text>
        <r>
          <rPr>
            <sz val="12"/>
            <rFont val="Times New Roman"/>
            <family val="1"/>
          </rPr>
          <t>Orginal author:
from table 9</t>
        </r>
      </text>
    </comment>
    <comment ref="S63" authorId="0">
      <text>
        <r>
          <rPr>
            <sz val="12"/>
            <rFont val="Times New Roman"/>
            <family val="1"/>
          </rPr>
          <t>Orginal author:
div. By 20 b/e disability is only for 0.5 of year</t>
        </r>
      </text>
    </comment>
    <comment ref="T63" authorId="0">
      <text>
        <r>
          <rPr>
            <sz val="12"/>
            <rFont val="Times New Roman"/>
            <family val="1"/>
          </rPr>
          <t>Orginal author:
from tables 9-11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6" authorId="0">
      <text>
        <r>
          <rPr>
            <sz val="12"/>
            <rFont val="Times New Roman"/>
            <family val="1"/>
          </rPr>
          <t>Orginal author:
from Bennett and Guyatt 2000</t>
        </r>
      </text>
    </comment>
    <comment ref="D6" authorId="0">
      <text>
        <r>
          <rPr>
            <sz val="12"/>
            <rFont val="Times New Roman"/>
            <family val="1"/>
          </rPr>
          <t>Orginal author:
trichuriasis, cotemporaneous cognitive deficit in WHO Global Burden of Disease</t>
        </r>
      </text>
    </comment>
    <comment ref="E6" authorId="0">
      <text>
        <r>
          <rPr>
            <sz val="12"/>
            <rFont val="Times New Roman"/>
            <family val="1"/>
          </rPr>
          <t>Orginal author:
trichuriasis, cognitive impairment in WHO Global Burden of Disease</t>
        </r>
      </text>
    </comment>
    <comment ref="F6" authorId="0">
      <text>
        <r>
          <rPr>
            <sz val="12"/>
            <rFont val="Times New Roman"/>
            <family val="1"/>
          </rPr>
          <t>Orginal author:
trichuriasis, massive dysentary syndrome in WHO Global Burden of Disease</t>
        </r>
      </text>
    </comment>
    <comment ref="A13" authorId="0">
      <text>
        <r>
          <rPr>
            <sz val="12"/>
            <rFont val="Times New Roman"/>
            <family val="1"/>
          </rPr>
          <t>Orginal author:
based on 11% of $0.95 cost for albendazole and PZQ, as reported in Guyatt 2003.  Assumes 100000 children and 350 schools (similar to the PCD study in Tanzania).</t>
        </r>
      </text>
    </comment>
    <comment ref="P21" authorId="0">
      <text>
        <r>
          <rPr>
            <sz val="12"/>
            <rFont val="Times New Roman"/>
            <family val="1"/>
          </rPr>
          <t>Orginal author:
div. By 20 b/e disability is only for 0.5 of year</t>
        </r>
      </text>
    </comment>
    <comment ref="Q21" authorId="0">
      <text>
        <r>
          <rPr>
            <sz val="12"/>
            <rFont val="Times New Roman"/>
            <family val="1"/>
          </rPr>
          <t>Orginal author:
from tables 9-11, average of all data reported</t>
        </r>
      </text>
    </comment>
    <comment ref="P28" authorId="0">
      <text>
        <r>
          <rPr>
            <sz val="12"/>
            <rFont val="Times New Roman"/>
            <family val="1"/>
          </rPr>
          <t>Orginal author:
div. By 20 b/e disability is only for 0.5 of year</t>
        </r>
      </text>
    </comment>
    <comment ref="Q28" authorId="0">
      <text>
        <r>
          <rPr>
            <sz val="12"/>
            <rFont val="Times New Roman"/>
            <family val="1"/>
          </rPr>
          <t>Orginal author:
from tables 9-11, average of China and Other Asia and Islands data</t>
        </r>
      </text>
    </comment>
    <comment ref="P35" authorId="0">
      <text>
        <r>
          <rPr>
            <sz val="12"/>
            <rFont val="Times New Roman"/>
            <family val="1"/>
          </rPr>
          <t>Orginal author:
div. By 20 b/e disability is only for 0.5 of year</t>
        </r>
      </text>
    </comment>
    <comment ref="Q35" authorId="0">
      <text>
        <r>
          <rPr>
            <sz val="12"/>
            <rFont val="Times New Roman"/>
            <family val="1"/>
          </rPr>
          <t>Orginal author:
from tables 9-11, average of all data reported</t>
        </r>
      </text>
    </comment>
    <comment ref="P42" authorId="0">
      <text>
        <r>
          <rPr>
            <sz val="12"/>
            <rFont val="Times New Roman"/>
            <family val="1"/>
          </rPr>
          <t>Orginal author:
div. By 20 b/e disability is only for 0.5 of year</t>
        </r>
      </text>
    </comment>
    <comment ref="Q42" authorId="0">
      <text>
        <r>
          <rPr>
            <sz val="12"/>
            <rFont val="Times New Roman"/>
            <family val="1"/>
          </rPr>
          <t>Orginal author:
from tables 9-11</t>
        </r>
      </text>
    </comment>
    <comment ref="P49" authorId="0">
      <text>
        <r>
          <rPr>
            <sz val="12"/>
            <rFont val="Times New Roman"/>
            <family val="1"/>
          </rPr>
          <t>Orginal author:
div. By 20 b/e disability is only for 0.5 of year</t>
        </r>
      </text>
    </comment>
    <comment ref="Q49" authorId="0">
      <text>
        <r>
          <rPr>
            <sz val="12"/>
            <rFont val="Times New Roman"/>
            <family val="1"/>
          </rPr>
          <t>Orginal author:
from tables 9-11</t>
        </r>
      </text>
    </comment>
    <comment ref="P56" authorId="0">
      <text>
        <r>
          <rPr>
            <sz val="12"/>
            <rFont val="Times New Roman"/>
            <family val="1"/>
          </rPr>
          <t>Orginal author:
div. By 20 b/e disability is only for 0.5 of year</t>
        </r>
      </text>
    </comment>
    <comment ref="Q56" authorId="0">
      <text>
        <r>
          <rPr>
            <sz val="12"/>
            <rFont val="Times New Roman"/>
            <family val="1"/>
          </rPr>
          <t>Orginal author:
from tables 9-11, India</t>
        </r>
      </text>
    </comment>
    <comment ref="P63" authorId="0">
      <text>
        <r>
          <rPr>
            <sz val="12"/>
            <rFont val="Times New Roman"/>
            <family val="1"/>
          </rPr>
          <t>Orginal author:
div. By 20 b/e disability is only for 0.5 of year</t>
        </r>
      </text>
    </comment>
    <comment ref="Q63" authorId="0">
      <text>
        <r>
          <rPr>
            <sz val="12"/>
            <rFont val="Times New Roman"/>
            <family val="1"/>
          </rPr>
          <t>Orginal author:
from tables 9-11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6" authorId="0">
      <text>
        <r>
          <rPr>
            <sz val="12"/>
            <rFont val="Times New Roman"/>
            <family val="1"/>
          </rPr>
          <t>Orginal author:
from Olds et al 1999</t>
        </r>
      </text>
    </comment>
    <comment ref="D6" authorId="0">
      <text>
        <r>
          <rPr>
            <sz val="12"/>
            <rFont val="Times New Roman"/>
            <family val="1"/>
          </rPr>
          <t>Orginal author:
ancytostomiasis and necatoriasis, cognitive impairment according to Peter Hotez</t>
        </r>
      </text>
    </comment>
    <comment ref="E6" authorId="0">
      <text>
        <r>
          <rPr>
            <sz val="12"/>
            <rFont val="Times New Roman"/>
            <family val="1"/>
          </rPr>
          <t>Orginal author:
ancytostomiasis and necatoriasis, anemia, according to Peter Hortez</t>
        </r>
      </text>
    </comment>
    <comment ref="A13" authorId="0">
      <text>
        <r>
          <rPr>
            <sz val="12"/>
            <rFont val="Times New Roman"/>
            <family val="1"/>
          </rPr>
          <t>Orginal author:
based on 11% of $0.95 cost for albendazole and PZQ, as reported in Guyatt 2003.  Assumes 100000 children and 350 schools (similar to the PCD study in Tanzania).</t>
        </r>
      </text>
    </comment>
    <comment ref="N21" authorId="0">
      <text>
        <r>
          <rPr>
            <sz val="12"/>
            <rFont val="Times New Roman"/>
            <family val="1"/>
          </rPr>
          <t>Orginal author:
from tables 9-11, average of all data reported</t>
        </r>
      </text>
    </comment>
    <comment ref="N27" authorId="0">
      <text>
        <r>
          <rPr>
            <sz val="12"/>
            <rFont val="Times New Roman"/>
            <family val="1"/>
          </rPr>
          <t>Orginal author:
from tables 9-11, average of all data reported</t>
        </r>
      </text>
    </comment>
    <comment ref="N34" authorId="0">
      <text>
        <r>
          <rPr>
            <sz val="12"/>
            <rFont val="Times New Roman"/>
            <family val="1"/>
          </rPr>
          <t>Orginal author:
from tables 9-11, average of China and Other Asia and Islands data</t>
        </r>
      </text>
    </comment>
    <comment ref="N40" authorId="0">
      <text>
        <r>
          <rPr>
            <sz val="12"/>
            <rFont val="Times New Roman"/>
            <family val="1"/>
          </rPr>
          <t>Orginal author:
from tables 9-11, average of China and Other Asia and Islands data</t>
        </r>
      </text>
    </comment>
    <comment ref="N47" authorId="0">
      <text>
        <r>
          <rPr>
            <sz val="12"/>
            <rFont val="Times New Roman"/>
            <family val="1"/>
          </rPr>
          <t>Orginal author:
from tables 9-11, average of all data reported</t>
        </r>
      </text>
    </comment>
    <comment ref="N53" authorId="0">
      <text>
        <r>
          <rPr>
            <sz val="12"/>
            <rFont val="Times New Roman"/>
            <family val="1"/>
          </rPr>
          <t>Orginal author:
from tables 9-11, average of all data reported</t>
        </r>
      </text>
    </comment>
    <comment ref="N60" authorId="0">
      <text>
        <r>
          <rPr>
            <sz val="12"/>
            <rFont val="Times New Roman"/>
            <family val="1"/>
          </rPr>
          <t>Orginal author:
from tables 9-11</t>
        </r>
      </text>
    </comment>
    <comment ref="N66" authorId="0">
      <text>
        <r>
          <rPr>
            <sz val="12"/>
            <rFont val="Times New Roman"/>
            <family val="1"/>
          </rPr>
          <t>Orginal author:
from tables 9-11</t>
        </r>
      </text>
    </comment>
    <comment ref="N73" authorId="0">
      <text>
        <r>
          <rPr>
            <sz val="12"/>
            <rFont val="Times New Roman"/>
            <family val="1"/>
          </rPr>
          <t>Orginal author:
from tables 9-11</t>
        </r>
      </text>
    </comment>
    <comment ref="N79" authorId="0">
      <text>
        <r>
          <rPr>
            <sz val="12"/>
            <rFont val="Times New Roman"/>
            <family val="1"/>
          </rPr>
          <t>Orginal author:
from tables 9-11</t>
        </r>
      </text>
    </comment>
    <comment ref="N86" authorId="0">
      <text>
        <r>
          <rPr>
            <sz val="12"/>
            <rFont val="Times New Roman"/>
            <family val="1"/>
          </rPr>
          <t>Orginal author:
from tables 9-11, India</t>
        </r>
      </text>
    </comment>
    <comment ref="N92" authorId="0">
      <text>
        <r>
          <rPr>
            <sz val="12"/>
            <rFont val="Times New Roman"/>
            <family val="1"/>
          </rPr>
          <t>Orginal author:
from tables 9-11, India</t>
        </r>
      </text>
    </comment>
    <comment ref="N99" authorId="0">
      <text>
        <r>
          <rPr>
            <sz val="12"/>
            <rFont val="Times New Roman"/>
            <family val="1"/>
          </rPr>
          <t>Orginal author:
from tables 9-11</t>
        </r>
      </text>
    </comment>
    <comment ref="N105" authorId="0">
      <text>
        <r>
          <rPr>
            <sz val="12"/>
            <rFont val="Times New Roman"/>
            <family val="1"/>
          </rPr>
          <t>Orginal author:
from tables 9-11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6" authorId="0">
      <text>
        <r>
          <rPr>
            <sz val="12"/>
            <rFont val="Times New Roman"/>
            <family val="1"/>
          </rPr>
          <t>Orginal author:
from Olds et al 1999</t>
        </r>
      </text>
    </comment>
    <comment ref="D6" authorId="0">
      <text>
        <r>
          <rPr>
            <sz val="12"/>
            <rFont val="Times New Roman"/>
            <family val="1"/>
          </rPr>
          <t>Orginal author:
from Olds et al 1999</t>
        </r>
      </text>
    </comment>
    <comment ref="B12" authorId="0">
      <text>
        <r>
          <rPr>
            <sz val="12"/>
            <rFont val="Times New Roman"/>
            <family val="1"/>
          </rPr>
          <t>Orginal author:
if = US$0.4375, then b/e this is the midpoint of 0.1 (generic) and 0.25 (original formulation) X 2.5 tablets per child</t>
        </r>
      </text>
    </comment>
    <comment ref="A13" authorId="0">
      <text>
        <r>
          <rPr>
            <sz val="12"/>
            <rFont val="Times New Roman"/>
            <family val="1"/>
          </rPr>
          <t>Orginal author:
based on 11% of $0.95 cost for albendazole and PZQ, as reported in Guyatt 2003.  Assumes 100000 children and 350 schools (similar to the PCD study in Tanzania).</t>
        </r>
      </text>
    </comment>
    <comment ref="N21" authorId="0">
      <text>
        <r>
          <rPr>
            <sz val="12"/>
            <rFont val="Times New Roman"/>
            <family val="1"/>
          </rPr>
          <t>Orginal author:
assumes % change in prevalence is the same as the % change in mortality as a result of treatment</t>
        </r>
      </text>
    </comment>
    <comment ref="N27" authorId="0">
      <text>
        <r>
          <rPr>
            <sz val="12"/>
            <rFont val="Times New Roman"/>
            <family val="1"/>
          </rPr>
          <t>Orginal author:
assumes % change in prevalence is the same as the % change in mortality as a result of treatment</t>
        </r>
      </text>
    </comment>
  </commentList>
</comments>
</file>

<file path=xl/sharedStrings.xml><?xml version="1.0" encoding="utf-8"?>
<sst xmlns="http://schemas.openxmlformats.org/spreadsheetml/2006/main" count="1540" uniqueCount="145">
  <si>
    <t>Costs per DALY gained</t>
  </si>
  <si>
    <t>ascariasis</t>
  </si>
  <si>
    <t>trichuriasis</t>
  </si>
  <si>
    <t>hookworm</t>
  </si>
  <si>
    <t>total</t>
  </si>
  <si>
    <t>schisto</t>
  </si>
  <si>
    <t>STH + schisto</t>
  </si>
  <si>
    <t>LAMI (minus ECA)</t>
  </si>
  <si>
    <t>EAP</t>
  </si>
  <si>
    <t>LAC</t>
  </si>
  <si>
    <t>MENA</t>
  </si>
  <si>
    <t>SAS</t>
  </si>
  <si>
    <t>SSA</t>
  </si>
  <si>
    <t>DALYs gained per US$1M spent</t>
  </si>
  <si>
    <t>Drug unit price per child:</t>
  </si>
  <si>
    <t>(difference from midpoint)</t>
  </si>
  <si>
    <t>SETTINGS</t>
  </si>
  <si>
    <t>treatment</t>
  </si>
  <si>
    <t>albendazole</t>
  </si>
  <si>
    <t>discount rate</t>
  </si>
  <si>
    <t>treatment duration (yrs)</t>
  </si>
  <si>
    <t>age group</t>
  </si>
  <si>
    <t>treatment %</t>
  </si>
  <si>
    <t>treatment effectiveness</t>
  </si>
  <si>
    <t>disability weight A</t>
  </si>
  <si>
    <t>disability weight B</t>
  </si>
  <si>
    <t>disability weight C</t>
  </si>
  <si>
    <t>0 to 4</t>
  </si>
  <si>
    <t>5 to 14</t>
  </si>
  <si>
    <t>15+</t>
  </si>
  <si>
    <t>COSTS (per person)</t>
  </si>
  <si>
    <t>drug unit cost per child</t>
  </si>
  <si>
    <t>non-drug costs per child</t>
  </si>
  <si>
    <t>population (1M)</t>
  </si>
  <si>
    <t>life expectancy</t>
  </si>
  <si>
    <t>effective treatment rate</t>
  </si>
  <si>
    <t>prop. A</t>
  </si>
  <si>
    <t># treated A</t>
  </si>
  <si>
    <t>DALYs averted A</t>
  </si>
  <si>
    <t>prop. B</t>
  </si>
  <si>
    <t># treated B</t>
  </si>
  <si>
    <t>DALYs averted B</t>
  </si>
  <si>
    <t>prop. C</t>
  </si>
  <si>
    <t># treated C</t>
  </si>
  <si>
    <t>DALYs averted C</t>
  </si>
  <si>
    <t>Disease mortality</t>
  </si>
  <si>
    <t>deaths averted</t>
  </si>
  <si>
    <t>avoided mort. DALYs</t>
  </si>
  <si>
    <t>Total DALYs</t>
  </si>
  <si>
    <t>Total discounted costs</t>
  </si>
  <si>
    <t>Cost per DALY gained</t>
  </si>
  <si>
    <t>ECA</t>
  </si>
  <si>
    <t>male</t>
  </si>
  <si>
    <t>female</t>
  </si>
  <si>
    <t>region total</t>
  </si>
  <si>
    <t>praziquantel</t>
  </si>
  <si>
    <t>treatment effectiveness (S.haemo)</t>
  </si>
  <si>
    <t>treatment effectiveness (S. man)</t>
  </si>
  <si>
    <t xml:space="preserve">disability weight </t>
  </si>
  <si>
    <t>S. haematobium</t>
  </si>
  <si>
    <t>S. mansoni</t>
  </si>
  <si>
    <t>all schisto</t>
  </si>
  <si>
    <t>Albendazole and PZQ for STH and schisto</t>
  </si>
  <si>
    <t>&lt;---only works if coverages set to be the same in all four worksheets</t>
  </si>
  <si>
    <t>prevalence</t>
  </si>
  <si>
    <t>prevalence reduced</t>
  </si>
  <si>
    <t>cases averted</t>
  </si>
  <si>
    <t>DALYs averted YLD</t>
  </si>
  <si>
    <t>total discounted cost</t>
  </si>
  <si>
    <t>total DALYs</t>
  </si>
  <si>
    <t>cost per DALYs gained</t>
  </si>
  <si>
    <t>Raw data ("male" and "female" rows) from "deaths2001.xls" from DCPP</t>
  </si>
  <si>
    <t>Population in thousands</t>
  </si>
  <si>
    <t>LAMI</t>
  </si>
  <si>
    <t>15 to 29</t>
  </si>
  <si>
    <t>30 to 44</t>
  </si>
  <si>
    <t>45 to 59</t>
  </si>
  <si>
    <t>60 to 69</t>
  </si>
  <si>
    <t>70 to 79</t>
  </si>
  <si>
    <t>80+</t>
  </si>
  <si>
    <t>total =</t>
  </si>
  <si>
    <t>%</t>
  </si>
  <si>
    <t>of 1 million</t>
  </si>
  <si>
    <t>MNA</t>
  </si>
  <si>
    <t>SAR</t>
  </si>
  <si>
    <t>ALL</t>
  </si>
  <si>
    <t>Total population (2000):</t>
  </si>
  <si>
    <t>any schisto</t>
  </si>
  <si>
    <t>Pre-school children (0-4):</t>
  </si>
  <si>
    <t>Total #</t>
  </si>
  <si>
    <t>Total # infected</t>
  </si>
  <si>
    <t>School-age children (5-19):</t>
  </si>
  <si>
    <t>&lt;--assume even age distribution in 5-19yo pop.</t>
  </si>
  <si>
    <t>&lt;--assume constant prevalence across ages within age group</t>
  </si>
  <si>
    <t>Adults (20+) :</t>
  </si>
  <si>
    <t>&lt;--1/3 of "total #" and "total # infected" of 5-19 group added to 20+ group</t>
  </si>
  <si>
    <t>All age groups :</t>
  </si>
  <si>
    <t>Mortality due to schistosomiasis data from deaths2001.xls</t>
  </si>
  <si>
    <t>male population</t>
  </si>
  <si>
    <t>male deaths</t>
  </si>
  <si>
    <t>male mortality</t>
  </si>
  <si>
    <t>female population</t>
  </si>
  <si>
    <t>female deaths</t>
  </si>
  <si>
    <t>female mortality</t>
  </si>
  <si>
    <t>overall mortality rate</t>
  </si>
  <si>
    <t>Low and Middle Income:</t>
  </si>
  <si>
    <t>Male:</t>
  </si>
  <si>
    <t>Population</t>
  </si>
  <si>
    <t>LE</t>
  </si>
  <si>
    <t>LE pop</t>
  </si>
  <si>
    <t>Age of onset</t>
  </si>
  <si>
    <t>wt. avg.</t>
  </si>
  <si>
    <t>Female:</t>
  </si>
  <si>
    <t>East Asia and Pacific:</t>
  </si>
  <si>
    <t>Europe and Central Asia:</t>
  </si>
  <si>
    <t>Latin America and Caribbean:</t>
  </si>
  <si>
    <t>Middle East and North Africa:</t>
  </si>
  <si>
    <t>South Asia Region:</t>
  </si>
  <si>
    <t>Sub-Saharan Africa:</t>
  </si>
  <si>
    <t>male pop</t>
  </si>
  <si>
    <t>fem pop</t>
  </si>
  <si>
    <t>ascariasis mort. # (1M)</t>
  </si>
  <si>
    <t>ascariasis mort. (prop.)</t>
  </si>
  <si>
    <t>mort (-ascariasis)</t>
  </si>
  <si>
    <t># at risk B</t>
  </si>
  <si>
    <t>prop at risk</t>
  </si>
  <si>
    <t>5 years of treatment:</t>
  </si>
  <si>
    <t>5 years w/o treatment:</t>
  </si>
  <si>
    <t>age</t>
  </si>
  <si>
    <t>#, year 0</t>
  </si>
  <si>
    <t>#, year 1</t>
  </si>
  <si>
    <t>#, year 2</t>
  </si>
  <si>
    <t>#, year 3</t>
  </si>
  <si>
    <t>#, year 4</t>
  </si>
  <si>
    <t xml:space="preserve">&lt;-start using </t>
  </si>
  <si>
    <t>untreated mortality rate</t>
  </si>
  <si>
    <t>disability weight</t>
  </si>
  <si>
    <t>year</t>
  </si>
  <si>
    <t xml:space="preserve"> treated 15-29 </t>
  </si>
  <si>
    <t xml:space="preserve"> untreated 15-29 </t>
  </si>
  <si>
    <t># new cases B</t>
  </si>
  <si>
    <t># (new) cases B</t>
  </si>
  <si>
    <t>dis DALYs lost</t>
  </si>
  <si>
    <t>total DALYs lost</t>
  </si>
  <si>
    <t>Raw data (population and deaths due to all causes) from "deaths2001.xls" from DCPP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</si>
</sst>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"/>
    <numFmt numFmtId="167" formatCode="0.000"/>
    <numFmt numFmtId="168" formatCode="D\-MMM"/>
    <numFmt numFmtId="169" formatCode="#,##0_);\(#,##0\)"/>
  </numFmts>
  <fonts count="14"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b/>
      <i/>
      <sz val="10"/>
      <color indexed="48"/>
      <name val="Arial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0" fillId="0" borderId="3" xfId="0" applyBorder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>
      <alignment horizontal="right"/>
    </xf>
    <xf numFmtId="164" fontId="0" fillId="0" borderId="0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Font="1" applyAlignment="1">
      <alignment horizontal="right"/>
    </xf>
    <xf numFmtId="164" fontId="4" fillId="0" borderId="0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2" xfId="0" applyFont="1" applyFill="1" applyBorder="1" applyAlignment="1">
      <alignment/>
    </xf>
    <xf numFmtId="164" fontId="6" fillId="0" borderId="4" xfId="0" applyFont="1" applyBorder="1" applyAlignment="1">
      <alignment/>
    </xf>
    <xf numFmtId="166" fontId="0" fillId="0" borderId="0" xfId="0" applyNumberFormat="1" applyAlignment="1">
      <alignment/>
    </xf>
    <xf numFmtId="164" fontId="7" fillId="0" borderId="0" xfId="0" applyFont="1" applyAlignment="1">
      <alignment horizontal="left"/>
    </xf>
    <xf numFmtId="164" fontId="8" fillId="0" borderId="0" xfId="0" applyFont="1" applyAlignment="1">
      <alignment/>
    </xf>
    <xf numFmtId="164" fontId="9" fillId="0" borderId="0" xfId="0" applyFont="1" applyAlignment="1">
      <alignment horizontal="right"/>
    </xf>
    <xf numFmtId="167" fontId="10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7" fillId="0" borderId="0" xfId="0" applyFont="1" applyAlignment="1">
      <alignment/>
    </xf>
    <xf numFmtId="164" fontId="4" fillId="0" borderId="0" xfId="0" applyFont="1" applyAlignment="1">
      <alignment horizontal="right"/>
    </xf>
    <xf numFmtId="164" fontId="4" fillId="0" borderId="5" xfId="0" applyFont="1" applyBorder="1" applyAlignment="1">
      <alignment horizontal="right"/>
    </xf>
    <xf numFmtId="164" fontId="4" fillId="0" borderId="0" xfId="0" applyFont="1" applyAlignment="1">
      <alignment horizontal="left"/>
    </xf>
    <xf numFmtId="168" fontId="4" fillId="0" borderId="0" xfId="0" applyNumberFormat="1" applyFont="1" applyAlignment="1">
      <alignment/>
    </xf>
    <xf numFmtId="169" fontId="11" fillId="0" borderId="0" xfId="0" applyNumberFormat="1" applyFont="1" applyBorder="1" applyAlignment="1" applyProtection="1">
      <alignment horizontal="right"/>
      <protection/>
    </xf>
    <xf numFmtId="164" fontId="4" fillId="0" borderId="0" xfId="0" applyFont="1" applyFill="1" applyBorder="1" applyAlignment="1">
      <alignment/>
    </xf>
    <xf numFmtId="164" fontId="0" fillId="2" borderId="0" xfId="0" applyFill="1" applyAlignment="1">
      <alignment/>
    </xf>
    <xf numFmtId="164" fontId="0" fillId="0" borderId="5" xfId="0" applyBorder="1" applyAlignment="1">
      <alignment/>
    </xf>
    <xf numFmtId="164" fontId="0" fillId="2" borderId="5" xfId="0" applyFill="1" applyBorder="1" applyAlignment="1">
      <alignment/>
    </xf>
    <xf numFmtId="164" fontId="0" fillId="0" borderId="0" xfId="0" applyFill="1" applyAlignment="1">
      <alignment/>
    </xf>
    <xf numFmtId="169" fontId="12" fillId="0" borderId="0" xfId="0" applyNumberFormat="1" applyFont="1" applyBorder="1" applyAlignment="1" applyProtection="1">
      <alignment horizontal="right"/>
      <protection/>
    </xf>
    <xf numFmtId="164" fontId="12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1.  Cost per DALY averted with treatment of intestinal worms by administration of albendazole to school-aged children (age 5-14)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"/>
          <c:w val="0.85275"/>
          <c:h val="0.8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worksheet!$H$3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worksheet!$N$24:$N$29</c:f>
                <c:numCache/>
              </c:numRef>
            </c:plus>
            <c:minus>
              <c:numRef>
                <c:f>worksheet!$B$24:$B$29</c:f>
                <c:numCache/>
              </c:numRef>
            </c:minus>
            <c:noEndCap val="0"/>
          </c:errBars>
          <c:cat>
            <c:strRef>
              <c:f>worksheet!$G$4:$G$9</c:f>
              <c:strCache/>
            </c:strRef>
          </c:cat>
          <c:val>
            <c:numRef>
              <c:f>worksheet!$H$4:$H$9</c:f>
              <c:numCache/>
            </c:numRef>
          </c:val>
        </c:ser>
        <c:ser>
          <c:idx val="1"/>
          <c:order val="1"/>
          <c:tx>
            <c:strRef>
              <c:f>worksheet!$I$3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worksheet!$O$24:$O$29</c:f>
                <c:numCache/>
              </c:numRef>
            </c:plus>
            <c:minus>
              <c:numRef>
                <c:f>worksheet!$C$24:$C$29</c:f>
                <c:numCache/>
              </c:numRef>
            </c:minus>
            <c:noEndCap val="0"/>
          </c:errBars>
          <c:cat>
            <c:strRef>
              <c:f>worksheet!$G$4:$G$9</c:f>
              <c:strCache/>
            </c:strRef>
          </c:cat>
          <c:val>
            <c:numRef>
              <c:f>worksheet!$I$4:$I$9</c:f>
              <c:numCache/>
            </c:numRef>
          </c:val>
        </c:ser>
        <c:ser>
          <c:idx val="2"/>
          <c:order val="2"/>
          <c:tx>
            <c:strRef>
              <c:f>worksheet!$J$3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worksheet!$P$24:$P$29</c:f>
                <c:numCache/>
              </c:numRef>
            </c:plus>
            <c:minus>
              <c:numRef>
                <c:f>worksheet!$D$24:$D$29</c:f>
                <c:numCache/>
              </c:numRef>
            </c:minus>
            <c:noEndCap val="0"/>
          </c:errBars>
          <c:cat>
            <c:strRef>
              <c:f>worksheet!$G$4:$G$9</c:f>
              <c:strCache/>
            </c:strRef>
          </c:cat>
          <c:val>
            <c:numRef>
              <c:f>worksheet!$J$4:$J$9</c:f>
              <c:numCache/>
            </c:numRef>
          </c:val>
        </c:ser>
        <c:ser>
          <c:idx val="3"/>
          <c:order val="3"/>
          <c:tx>
            <c:strRef>
              <c:f>worksheet!$K$3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worksheet!$Q$24:$Q$29</c:f>
                <c:numCache/>
              </c:numRef>
            </c:plus>
            <c:minus>
              <c:numRef>
                <c:f>worksheet!$E$24:$E$29</c:f>
                <c:numCache/>
              </c:numRef>
            </c:minus>
            <c:noEndCap val="0"/>
          </c:errBars>
          <c:cat>
            <c:strRef>
              <c:f>worksheet!$G$4:$G$9</c:f>
              <c:strCache/>
            </c:strRef>
          </c:cat>
          <c:val>
            <c:numRef>
              <c:f>worksheet!$K$4:$K$9</c:f>
              <c:numCache/>
            </c:numRef>
          </c:val>
        </c:ser>
        <c:axId val="16252561"/>
        <c:axId val="12055322"/>
      </c:barChart>
      <c:catAx>
        <c:axId val="16252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Bank 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55322"/>
        <c:crossesAt val="0"/>
        <c:auto val="1"/>
        <c:lblOffset val="100"/>
        <c:noMultiLvlLbl val="0"/>
      </c:catAx>
      <c:valAx>
        <c:axId val="12055322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 (US$)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5256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75"/>
          <c:y val="0.4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2.  DALYs averted per US$1M expenditure of albendazole administration to school-aged children (age 5-14)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worksheet!$H$13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worksheet!$B$34:$B$39</c:f>
                <c:numCache/>
              </c:numRef>
            </c:plus>
            <c:minus>
              <c:numRef>
                <c:f>worksheet!$N$34:$N$39</c:f>
                <c:numCache/>
              </c:numRef>
            </c:minus>
            <c:noEndCap val="0"/>
          </c:errBars>
          <c:cat>
            <c:strRef>
              <c:f>worksheet!$G$14:$G$19</c:f>
              <c:strCache/>
            </c:strRef>
          </c:cat>
          <c:val>
            <c:numRef>
              <c:f>worksheet!$H$14:$H$19</c:f>
              <c:numCache/>
            </c:numRef>
          </c:val>
        </c:ser>
        <c:ser>
          <c:idx val="1"/>
          <c:order val="1"/>
          <c:tx>
            <c:strRef>
              <c:f>worksheet!$I$13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worksheet!$C$34:$C$39</c:f>
                <c:numCache/>
              </c:numRef>
            </c:plus>
            <c:minus>
              <c:numRef>
                <c:f>worksheet!$O$34:$O$39</c:f>
                <c:numCache/>
              </c:numRef>
            </c:minus>
            <c:noEndCap val="0"/>
          </c:errBars>
          <c:cat>
            <c:strRef>
              <c:f>worksheet!$G$14:$G$19</c:f>
              <c:strCache/>
            </c:strRef>
          </c:cat>
          <c:val>
            <c:numRef>
              <c:f>worksheet!$I$14:$I$19</c:f>
              <c:numCache/>
            </c:numRef>
          </c:val>
        </c:ser>
        <c:ser>
          <c:idx val="2"/>
          <c:order val="2"/>
          <c:tx>
            <c:strRef>
              <c:f>worksheet!$J$13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worksheet!$D$34:$D$39</c:f>
                <c:numCache/>
              </c:numRef>
            </c:plus>
            <c:minus>
              <c:numRef>
                <c:f>worksheet!$P$34:$P$39</c:f>
                <c:numCache/>
              </c:numRef>
            </c:minus>
            <c:noEndCap val="0"/>
          </c:errBars>
          <c:cat>
            <c:strRef>
              <c:f>worksheet!$G$14:$G$19</c:f>
              <c:strCache/>
            </c:strRef>
          </c:cat>
          <c:val>
            <c:numRef>
              <c:f>worksheet!$J$14:$J$19</c:f>
              <c:numCache/>
            </c:numRef>
          </c:val>
        </c:ser>
        <c:ser>
          <c:idx val="3"/>
          <c:order val="3"/>
          <c:tx>
            <c:strRef>
              <c:f>worksheet!$K$13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worksheet!$E$34:$E$39</c:f>
                <c:numCache/>
              </c:numRef>
            </c:plus>
            <c:minus>
              <c:numRef>
                <c:f>worksheet!$Q$34:$Q$39</c:f>
                <c:numCache/>
              </c:numRef>
            </c:minus>
            <c:noEndCap val="0"/>
          </c:errBars>
          <c:cat>
            <c:strRef>
              <c:f>worksheet!$G$14:$G$19</c:f>
              <c:strCache/>
            </c:strRef>
          </c:cat>
          <c:val>
            <c:numRef>
              <c:f>worksheet!$K$14:$K$19</c:f>
              <c:numCache/>
            </c:numRef>
          </c:val>
        </c:ser>
        <c:axId val="41389035"/>
        <c:axId val="36956996"/>
      </c:barChart>
      <c:catAx>
        <c:axId val="4138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Bank 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56996"/>
        <c:crossesAt val="0"/>
        <c:auto val="1"/>
        <c:lblOffset val="100"/>
        <c:noMultiLvlLbl val="0"/>
      </c:catAx>
      <c:valAx>
        <c:axId val="36956996"/>
        <c:scaling>
          <c:orientation val="minMax"/>
          <c:max val="1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DALYs averted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89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38100</xdr:rowOff>
    </xdr:from>
    <xdr:to>
      <xdr:col>9</xdr:col>
      <xdr:colOff>619125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342900" y="200025"/>
        <a:ext cx="72199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7</xdr:row>
      <xdr:rowOff>66675</xdr:rowOff>
    </xdr:from>
    <xdr:to>
      <xdr:col>7</xdr:col>
      <xdr:colOff>219075</xdr:colOff>
      <xdr:row>9</xdr:row>
      <xdr:rowOff>76200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4457700" y="1200150"/>
          <a:ext cx="1162050" cy="3333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value = 11855
range = {6651, 17060}
</a:t>
          </a:r>
        </a:p>
      </xdr:txBody>
    </xdr:sp>
    <xdr:clientData/>
  </xdr:twoCellAnchor>
  <xdr:twoCellAnchor>
    <xdr:from>
      <xdr:col>5</xdr:col>
      <xdr:colOff>390525</xdr:colOff>
      <xdr:row>7</xdr:row>
      <xdr:rowOff>19050</xdr:rowOff>
    </xdr:from>
    <xdr:to>
      <xdr:col>5</xdr:col>
      <xdr:colOff>600075</xdr:colOff>
      <xdr:row>7</xdr:row>
      <xdr:rowOff>66675</xdr:rowOff>
    </xdr:to>
    <xdr:sp>
      <xdr:nvSpPr>
        <xdr:cNvPr id="3" name="Line 2"/>
        <xdr:cNvSpPr>
          <a:spLocks/>
        </xdr:cNvSpPr>
      </xdr:nvSpPr>
      <xdr:spPr>
        <a:xfrm flipH="1" flipV="1">
          <a:off x="4248150" y="1152525"/>
          <a:ext cx="20955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38100</xdr:rowOff>
    </xdr:from>
    <xdr:to>
      <xdr:col>9</xdr:col>
      <xdr:colOff>619125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342900" y="200025"/>
        <a:ext cx="72199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Desktop\schisto-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ngola"/>
      <sheetName val="Benin"/>
      <sheetName val="Botswana"/>
      <sheetName val="Burkina"/>
      <sheetName val="Burundi"/>
      <sheetName val="Cameroon"/>
      <sheetName val="CAR"/>
      <sheetName val="Chad"/>
      <sheetName val="Congo"/>
      <sheetName val="Coted'Ivoire"/>
      <sheetName val="DRCongo"/>
      <sheetName val="Eq Guina"/>
      <sheetName val="Ethiopia"/>
      <sheetName val="Gabon"/>
      <sheetName val="Gambia"/>
      <sheetName val="Ghana"/>
      <sheetName val="Guina"/>
      <sheetName val="Guina-Bis"/>
      <sheetName val="Kenya"/>
      <sheetName val="Liberia"/>
      <sheetName val="Madagascar"/>
      <sheetName val="Malawi"/>
      <sheetName val="Mali"/>
      <sheetName val="Mauritania"/>
      <sheetName val="Mozambique"/>
      <sheetName val="Namibia"/>
      <sheetName val="Niger"/>
      <sheetName val="Nigeria"/>
      <sheetName val="Rwanda"/>
      <sheetName val="Senegal"/>
      <sheetName val="Sierra L"/>
      <sheetName val="Somalia"/>
      <sheetName val="SouthAfrica"/>
      <sheetName val="Sudan"/>
      <sheetName val="Uganda"/>
      <sheetName val="Tanzania"/>
      <sheetName val="Togo"/>
      <sheetName val="Zambia"/>
      <sheetName val="Zimbabwe"/>
    </sheetNames>
    <sheetDataSet>
      <sheetData sheetId="1">
        <row r="3">
          <cell r="C3">
            <v>12574658</v>
          </cell>
        </row>
        <row r="8">
          <cell r="B8">
            <v>2011945.28</v>
          </cell>
        </row>
        <row r="10">
          <cell r="E10">
            <v>481622.016</v>
          </cell>
          <cell r="F10">
            <v>10563.02</v>
          </cell>
        </row>
        <row r="12">
          <cell r="B12">
            <v>4778370.04</v>
          </cell>
        </row>
        <row r="14">
          <cell r="E14">
            <v>1888686.336</v>
          </cell>
          <cell r="F14">
            <v>75262.08</v>
          </cell>
        </row>
        <row r="16">
          <cell r="B16">
            <v>5784342.680000001</v>
          </cell>
        </row>
        <row r="18">
          <cell r="E18">
            <v>1492001.536</v>
          </cell>
          <cell r="F18">
            <v>45552.99</v>
          </cell>
        </row>
      </sheetData>
      <sheetData sheetId="2">
        <row r="3">
          <cell r="C3">
            <v>6139901</v>
          </cell>
        </row>
        <row r="8">
          <cell r="B8">
            <v>982384.16</v>
          </cell>
        </row>
        <row r="10">
          <cell r="E10">
            <v>130657.072</v>
          </cell>
          <cell r="F10">
            <v>16343.344</v>
          </cell>
        </row>
        <row r="12">
          <cell r="B12">
            <v>2333162.38</v>
          </cell>
        </row>
        <row r="14">
          <cell r="E14">
            <v>515628.802</v>
          </cell>
          <cell r="F14">
            <v>105955.767</v>
          </cell>
        </row>
        <row r="16">
          <cell r="B16">
            <v>2824354.46</v>
          </cell>
        </row>
        <row r="18">
          <cell r="E18">
            <v>406706.97599999997</v>
          </cell>
          <cell r="F18">
            <v>67360.85387100001</v>
          </cell>
        </row>
      </sheetData>
      <sheetData sheetId="3">
        <row r="3">
          <cell r="C3">
            <v>1538848</v>
          </cell>
        </row>
        <row r="8">
          <cell r="B8">
            <v>261604.16000000003</v>
          </cell>
        </row>
        <row r="10">
          <cell r="E10">
            <v>10647.009900000001</v>
          </cell>
          <cell r="F10">
            <v>4175.92896</v>
          </cell>
        </row>
        <row r="12">
          <cell r="B12">
            <v>600150.72</v>
          </cell>
        </row>
        <row r="14">
          <cell r="E14">
            <v>40709.1555</v>
          </cell>
          <cell r="F14">
            <v>22288.33152</v>
          </cell>
        </row>
        <row r="16">
          <cell r="B16">
            <v>677093.12</v>
          </cell>
        </row>
        <row r="18">
          <cell r="E18">
            <v>30006.474960000003</v>
          </cell>
          <cell r="F18">
            <v>21340.85184</v>
          </cell>
        </row>
      </sheetData>
      <sheetData sheetId="4">
        <row r="3">
          <cell r="C3">
            <v>11425131</v>
          </cell>
        </row>
        <row r="8">
          <cell r="B8">
            <v>1828020.96</v>
          </cell>
        </row>
        <row r="10">
          <cell r="E10">
            <v>495393.68016000005</v>
          </cell>
          <cell r="F10">
            <v>54840.6288</v>
          </cell>
        </row>
        <row r="12">
          <cell r="B12">
            <v>4341549.78</v>
          </cell>
        </row>
        <row r="14">
          <cell r="E14">
            <v>1953697.401</v>
          </cell>
          <cell r="F14">
            <v>296962.004952</v>
          </cell>
        </row>
        <row r="16">
          <cell r="B16">
            <v>5255560.26</v>
          </cell>
        </row>
        <row r="18">
          <cell r="E18">
            <v>1539879.15618</v>
          </cell>
          <cell r="F18">
            <v>299566.93482</v>
          </cell>
        </row>
      </sheetData>
      <sheetData sheetId="5">
        <row r="3">
          <cell r="C3">
            <v>6135499</v>
          </cell>
        </row>
        <row r="8">
          <cell r="B8">
            <v>1043034.8300000001</v>
          </cell>
        </row>
        <row r="10">
          <cell r="E10">
            <v>0</v>
          </cell>
          <cell r="F10">
            <v>10119.525570000002</v>
          </cell>
        </row>
        <row r="12">
          <cell r="B12">
            <v>2392844.61</v>
          </cell>
        </row>
        <row r="14">
          <cell r="E14">
            <v>0</v>
          </cell>
          <cell r="F14">
            <v>53934.7263</v>
          </cell>
        </row>
        <row r="16">
          <cell r="B16">
            <v>2699619.56</v>
          </cell>
        </row>
        <row r="18">
          <cell r="E18">
            <v>0</v>
          </cell>
          <cell r="F18">
            <v>51589.73820000001</v>
          </cell>
        </row>
      </sheetData>
      <sheetData sheetId="6">
        <row r="3">
          <cell r="C3">
            <v>14958639</v>
          </cell>
        </row>
        <row r="8">
          <cell r="B8">
            <v>2393382.24</v>
          </cell>
        </row>
        <row r="10">
          <cell r="E10">
            <v>145996.302</v>
          </cell>
          <cell r="F10">
            <v>71801.45999999999</v>
          </cell>
        </row>
        <row r="12">
          <cell r="B12">
            <v>5684282.82</v>
          </cell>
        </row>
        <row r="14">
          <cell r="E14">
            <v>568428.282</v>
          </cell>
          <cell r="F14">
            <v>341056.9692</v>
          </cell>
        </row>
        <row r="16">
          <cell r="B16">
            <v>6880973.94</v>
          </cell>
        </row>
        <row r="18">
          <cell r="E18">
            <v>454144.28004000004</v>
          </cell>
          <cell r="F18">
            <v>364691.61882000003</v>
          </cell>
        </row>
      </sheetData>
      <sheetData sheetId="7">
        <row r="3">
          <cell r="C3">
            <v>3035145</v>
          </cell>
        </row>
        <row r="8">
          <cell r="B8">
            <v>515974.65</v>
          </cell>
        </row>
        <row r="10">
          <cell r="E10">
            <v>40026.00173</v>
          </cell>
          <cell r="F10">
            <v>34054.3269</v>
          </cell>
        </row>
        <row r="12">
          <cell r="B12">
            <v>1183706.55</v>
          </cell>
        </row>
        <row r="14">
          <cell r="E14">
            <v>152420.9973</v>
          </cell>
          <cell r="F14">
            <v>182290.8087</v>
          </cell>
        </row>
        <row r="16">
          <cell r="B16">
            <v>1335463.8</v>
          </cell>
        </row>
        <row r="18">
          <cell r="E18">
            <v>111985.10796000001</v>
          </cell>
          <cell r="F18">
            <v>174945.75780000002</v>
          </cell>
        </row>
      </sheetData>
      <sheetData sheetId="8">
        <row r="3">
          <cell r="C3">
            <v>7575823</v>
          </cell>
        </row>
        <row r="8">
          <cell r="B8">
            <v>1212131.68</v>
          </cell>
        </row>
        <row r="10">
          <cell r="E10">
            <v>200001.7272</v>
          </cell>
          <cell r="F10">
            <v>38788.213760000006</v>
          </cell>
        </row>
        <row r="12">
          <cell r="B12">
            <v>2878812.74</v>
          </cell>
        </row>
        <row r="14">
          <cell r="E14">
            <v>785915.8780200001</v>
          </cell>
          <cell r="F14">
            <v>193456.21612800003</v>
          </cell>
        </row>
        <row r="16">
          <cell r="B16">
            <v>3484878.58</v>
          </cell>
        </row>
        <row r="18">
          <cell r="E18">
            <v>620308.38724</v>
          </cell>
          <cell r="F18">
            <v>200729.00620799998</v>
          </cell>
        </row>
      </sheetData>
      <sheetData sheetId="9">
        <row r="3">
          <cell r="C3">
            <v>2823207</v>
          </cell>
        </row>
        <row r="8">
          <cell r="B8">
            <v>479945.19000000006</v>
          </cell>
        </row>
        <row r="10">
          <cell r="E10">
            <v>42235.17672</v>
          </cell>
          <cell r="F10">
            <v>0</v>
          </cell>
        </row>
        <row r="12">
          <cell r="B12">
            <v>1101050.73</v>
          </cell>
        </row>
        <row r="14">
          <cell r="E14">
            <v>166258.66022999998</v>
          </cell>
          <cell r="F14">
            <v>0</v>
          </cell>
        </row>
        <row r="16">
          <cell r="B16">
            <v>1242211.08</v>
          </cell>
        </row>
        <row r="18">
          <cell r="E18">
            <v>122978.89692000001</v>
          </cell>
          <cell r="F18">
            <v>0</v>
          </cell>
        </row>
      </sheetData>
      <sheetData sheetId="10">
        <row r="3">
          <cell r="C3">
            <v>15047451</v>
          </cell>
        </row>
        <row r="8">
          <cell r="B8">
            <v>2558066.6700000004</v>
          </cell>
        </row>
        <row r="10">
          <cell r="E10">
            <v>503939.1339900001</v>
          </cell>
          <cell r="F10">
            <v>66509.73342</v>
          </cell>
        </row>
        <row r="12">
          <cell r="B12">
            <v>5868505.890000001</v>
          </cell>
        </row>
        <row r="14">
          <cell r="E14">
            <v>1913132.9201400003</v>
          </cell>
          <cell r="F14">
            <v>275819.77683000005</v>
          </cell>
        </row>
        <row r="16">
          <cell r="B16">
            <v>6620878.44</v>
          </cell>
        </row>
        <row r="18">
          <cell r="E18">
            <v>1410247.10772</v>
          </cell>
          <cell r="F18">
            <v>278076.89448</v>
          </cell>
        </row>
      </sheetData>
      <sheetData sheetId="11">
        <row r="3">
          <cell r="C3">
            <v>51471620</v>
          </cell>
        </row>
        <row r="8">
          <cell r="B8">
            <v>8750175.4</v>
          </cell>
        </row>
        <row r="10">
          <cell r="E10">
            <v>358057.78080000007</v>
          </cell>
          <cell r="F10">
            <v>754716.0016399999</v>
          </cell>
        </row>
        <row r="12">
          <cell r="B12">
            <v>20073931.8</v>
          </cell>
        </row>
        <row r="14">
          <cell r="E14">
            <v>1360487.92815</v>
          </cell>
          <cell r="F14">
            <v>4023693.0162000004</v>
          </cell>
        </row>
        <row r="16">
          <cell r="B16">
            <v>22647512.8</v>
          </cell>
        </row>
        <row r="18">
          <cell r="E18">
            <v>1002035.2306799999</v>
          </cell>
          <cell r="F18">
            <v>3851740.3232000005</v>
          </cell>
        </row>
      </sheetData>
      <sheetData sheetId="12">
        <row r="3">
          <cell r="C3">
            <v>670834</v>
          </cell>
        </row>
        <row r="8">
          <cell r="B8">
            <v>107333.44</v>
          </cell>
        </row>
        <row r="10">
          <cell r="E10">
            <v>0</v>
          </cell>
          <cell r="F10">
            <v>0</v>
          </cell>
        </row>
        <row r="12">
          <cell r="B12">
            <v>254916.92</v>
          </cell>
        </row>
        <row r="14">
          <cell r="E14">
            <v>0</v>
          </cell>
          <cell r="F14">
            <v>0</v>
          </cell>
        </row>
        <row r="16">
          <cell r="B16">
            <v>308583.64</v>
          </cell>
        </row>
        <row r="18">
          <cell r="E18">
            <v>0</v>
          </cell>
          <cell r="F18">
            <v>0</v>
          </cell>
        </row>
      </sheetData>
      <sheetData sheetId="13">
        <row r="3">
          <cell r="C3">
            <v>62272569</v>
          </cell>
        </row>
        <row r="8">
          <cell r="B8">
            <v>10586336.73</v>
          </cell>
        </row>
        <row r="10">
          <cell r="E10">
            <v>55069.89333</v>
          </cell>
          <cell r="F10">
            <v>291759.44027880003</v>
          </cell>
        </row>
        <row r="12">
          <cell r="B12">
            <v>24286301.91</v>
          </cell>
        </row>
        <row r="14">
          <cell r="E14">
            <v>210561.35685</v>
          </cell>
          <cell r="F14">
            <v>1557480.5414883</v>
          </cell>
        </row>
        <row r="16">
          <cell r="B16">
            <v>27399930.36</v>
          </cell>
        </row>
        <row r="18">
          <cell r="E18">
            <v>155280.77048</v>
          </cell>
          <cell r="F18">
            <v>1495762.1983524</v>
          </cell>
        </row>
      </sheetData>
      <sheetData sheetId="14">
        <row r="3">
          <cell r="C3">
            <v>1136591</v>
          </cell>
        </row>
        <row r="8">
          <cell r="B8">
            <v>181854.56</v>
          </cell>
        </row>
        <row r="10">
          <cell r="E10">
            <v>20296.5414102734</v>
          </cell>
          <cell r="F10">
            <v>0</v>
          </cell>
        </row>
        <row r="12">
          <cell r="B12">
            <v>431904.58</v>
          </cell>
        </row>
        <row r="14">
          <cell r="E14">
            <v>79722.47275092965</v>
          </cell>
          <cell r="F14">
            <v>0</v>
          </cell>
        </row>
        <row r="16">
          <cell r="B16">
            <v>522831.86000000004</v>
          </cell>
        </row>
        <row r="18">
          <cell r="E18">
            <v>63215.26960074736</v>
          </cell>
          <cell r="F18">
            <v>0</v>
          </cell>
        </row>
      </sheetData>
      <sheetData sheetId="15">
        <row r="3">
          <cell r="C3">
            <v>1303448</v>
          </cell>
        </row>
        <row r="8">
          <cell r="B8">
            <v>208551.68</v>
          </cell>
        </row>
        <row r="10">
          <cell r="E10">
            <v>75745.970176</v>
          </cell>
          <cell r="F10">
            <v>689.9136</v>
          </cell>
        </row>
        <row r="12">
          <cell r="B12">
            <v>495310.24</v>
          </cell>
        </row>
        <row r="14">
          <cell r="E14">
            <v>298374.88857600006</v>
          </cell>
          <cell r="F14">
            <v>1638.5448000000001</v>
          </cell>
        </row>
        <row r="16">
          <cell r="B16">
            <v>599586.0800000001</v>
          </cell>
        </row>
        <row r="18">
          <cell r="E18">
            <v>235037.74336000002</v>
          </cell>
          <cell r="F18">
            <v>1983.5016</v>
          </cell>
        </row>
      </sheetData>
      <sheetData sheetId="16">
        <row r="3">
          <cell r="C3">
            <v>18253328</v>
          </cell>
        </row>
        <row r="8">
          <cell r="B8">
            <v>2920532.48</v>
          </cell>
        </row>
        <row r="10">
          <cell r="E10">
            <v>730133.12</v>
          </cell>
          <cell r="F10">
            <v>53343.63216</v>
          </cell>
        </row>
        <row r="12">
          <cell r="B12">
            <v>6936264.64</v>
          </cell>
        </row>
        <row r="14">
          <cell r="E14">
            <v>2878549.8255999996</v>
          </cell>
          <cell r="F14">
            <v>295612.62822</v>
          </cell>
        </row>
        <row r="16">
          <cell r="B16">
            <v>8396530.88</v>
          </cell>
        </row>
        <row r="18">
          <cell r="E18">
            <v>2267063.3376</v>
          </cell>
          <cell r="F18">
            <v>302668.66422</v>
          </cell>
        </row>
      </sheetData>
      <sheetData sheetId="17">
        <row r="3">
          <cell r="C3">
            <v>6414337</v>
          </cell>
        </row>
        <row r="8">
          <cell r="B8">
            <v>1026293.92</v>
          </cell>
        </row>
        <row r="10">
          <cell r="E10">
            <v>38999.16896</v>
          </cell>
          <cell r="F10">
            <v>67735.39872000001</v>
          </cell>
        </row>
        <row r="12">
          <cell r="B12">
            <v>2437448.06</v>
          </cell>
        </row>
        <row r="14">
          <cell r="E14">
            <v>153559.22778000002</v>
          </cell>
          <cell r="F14">
            <v>377804.4493</v>
          </cell>
        </row>
        <row r="16">
          <cell r="B16">
            <v>2950595.02</v>
          </cell>
        </row>
        <row r="18">
          <cell r="E18">
            <v>120974.39582</v>
          </cell>
          <cell r="F18">
            <v>386527.94762</v>
          </cell>
        </row>
      </sheetData>
      <sheetData sheetId="18">
        <row r="3">
          <cell r="C3">
            <v>1242810</v>
          </cell>
        </row>
        <row r="8">
          <cell r="B8">
            <v>198849.6</v>
          </cell>
        </row>
        <row r="10">
          <cell r="E10">
            <v>20785.548</v>
          </cell>
          <cell r="F10">
            <v>0</v>
          </cell>
        </row>
        <row r="12">
          <cell r="B12">
            <v>472267.8</v>
          </cell>
        </row>
        <row r="14">
          <cell r="E14">
            <v>121298.5194</v>
          </cell>
          <cell r="F14">
            <v>0</v>
          </cell>
        </row>
        <row r="16">
          <cell r="B16">
            <v>571692.6</v>
          </cell>
        </row>
        <row r="18">
          <cell r="E18">
            <v>80247.0621</v>
          </cell>
          <cell r="F18">
            <v>0</v>
          </cell>
        </row>
      </sheetData>
      <sheetData sheetId="19">
        <row r="3">
          <cell r="C3">
            <v>28082600</v>
          </cell>
        </row>
        <row r="8">
          <cell r="B8">
            <v>4774042</v>
          </cell>
        </row>
        <row r="10">
          <cell r="E10">
            <v>551135.88226</v>
          </cell>
          <cell r="F10">
            <v>848377.98019</v>
          </cell>
        </row>
        <row r="12">
          <cell r="B12">
            <v>10952214</v>
          </cell>
        </row>
        <row r="14">
          <cell r="E14">
            <v>2100140.91924</v>
          </cell>
          <cell r="F14">
            <v>4537955.9745000005</v>
          </cell>
        </row>
        <row r="16">
          <cell r="B16">
            <v>12356344</v>
          </cell>
        </row>
        <row r="18">
          <cell r="E18">
            <v>1547356.5747200001</v>
          </cell>
          <cell r="F18">
            <v>4346094.81592</v>
          </cell>
        </row>
      </sheetData>
      <sheetData sheetId="20">
        <row r="3">
          <cell r="C3">
            <v>4647215</v>
          </cell>
        </row>
        <row r="8">
          <cell r="B8">
            <v>743554.4</v>
          </cell>
        </row>
        <row r="10">
          <cell r="E10">
            <v>111830.58176</v>
          </cell>
          <cell r="F10">
            <v>14276.244480000001</v>
          </cell>
        </row>
        <row r="12">
          <cell r="B12">
            <v>1765941.7</v>
          </cell>
        </row>
        <row r="14">
          <cell r="E14">
            <v>440779.04832000006</v>
          </cell>
          <cell r="F14">
            <v>60748.39448</v>
          </cell>
        </row>
        <row r="16">
          <cell r="B16">
            <v>2137718.9</v>
          </cell>
        </row>
        <row r="18">
          <cell r="E18">
            <v>347165.54936000006</v>
          </cell>
          <cell r="F18">
            <v>75247.70528</v>
          </cell>
        </row>
      </sheetData>
      <sheetData sheetId="21">
        <row r="3">
          <cell r="C3">
            <v>15500000</v>
          </cell>
        </row>
        <row r="8">
          <cell r="B8">
            <v>2480000</v>
          </cell>
        </row>
        <row r="10">
          <cell r="E10">
            <v>109120</v>
          </cell>
          <cell r="F10">
            <v>68200</v>
          </cell>
        </row>
        <row r="12">
          <cell r="B12">
            <v>5890000</v>
          </cell>
        </row>
        <row r="14">
          <cell r="E14">
            <v>424079.99999999994</v>
          </cell>
          <cell r="F14">
            <v>371070</v>
          </cell>
        </row>
        <row r="16">
          <cell r="B16">
            <v>7130000</v>
          </cell>
        </row>
        <row r="18">
          <cell r="E18">
            <v>338675</v>
          </cell>
          <cell r="F18">
            <v>377890</v>
          </cell>
        </row>
      </sheetData>
      <sheetData sheetId="22">
        <row r="3">
          <cell r="C3">
            <v>9919706</v>
          </cell>
        </row>
        <row r="8">
          <cell r="B8">
            <v>1686350.02</v>
          </cell>
        </row>
        <row r="10">
          <cell r="E10">
            <v>438451.0052</v>
          </cell>
          <cell r="F10">
            <v>134908.00160000002</v>
          </cell>
        </row>
        <row r="12">
          <cell r="B12">
            <v>3868685.3400000003</v>
          </cell>
        </row>
        <row r="14">
          <cell r="E14">
            <v>1702221.5496000003</v>
          </cell>
          <cell r="F14">
            <v>696363.3612</v>
          </cell>
        </row>
        <row r="16">
          <cell r="B16">
            <v>4364670.64</v>
          </cell>
        </row>
        <row r="18">
          <cell r="E18">
            <v>1222107.7792</v>
          </cell>
          <cell r="F18">
            <v>654700.5959999999</v>
          </cell>
        </row>
      </sheetData>
      <sheetData sheetId="23">
        <row r="3">
          <cell r="C3">
            <v>10526356</v>
          </cell>
        </row>
        <row r="8">
          <cell r="B8">
            <v>1684216.96</v>
          </cell>
        </row>
        <row r="10">
          <cell r="E10">
            <v>333474.95808</v>
          </cell>
          <cell r="F10">
            <v>80842.41408</v>
          </cell>
        </row>
        <row r="12">
          <cell r="B12">
            <v>4000015.2800000003</v>
          </cell>
        </row>
        <row r="14">
          <cell r="E14">
            <v>1312005.01184</v>
          </cell>
          <cell r="F14">
            <v>344001.31408</v>
          </cell>
        </row>
        <row r="16">
          <cell r="B16">
            <v>4842123.76</v>
          </cell>
        </row>
        <row r="18">
          <cell r="E18">
            <v>1031372.3608799999</v>
          </cell>
          <cell r="F18">
            <v>251790.43551999997</v>
          </cell>
        </row>
      </sheetData>
      <sheetData sheetId="24">
        <row r="3">
          <cell r="C3">
            <v>2771975</v>
          </cell>
        </row>
        <row r="8">
          <cell r="B8">
            <v>443516</v>
          </cell>
        </row>
        <row r="10">
          <cell r="E10">
            <v>79389.364</v>
          </cell>
          <cell r="F10">
            <v>863.9999999999999</v>
          </cell>
        </row>
        <row r="12">
          <cell r="B12">
            <v>1053350.5</v>
          </cell>
        </row>
        <row r="14">
          <cell r="E14">
            <v>312845.09849999996</v>
          </cell>
          <cell r="F14">
            <v>4788</v>
          </cell>
        </row>
        <row r="16">
          <cell r="B16">
            <v>1275108.5</v>
          </cell>
        </row>
        <row r="18">
          <cell r="E18">
            <v>246095.9405</v>
          </cell>
          <cell r="F18">
            <v>4899</v>
          </cell>
        </row>
      </sheetData>
      <sheetData sheetId="25">
        <row r="3">
          <cell r="C3">
            <v>19239806</v>
          </cell>
        </row>
        <row r="8">
          <cell r="B8">
            <v>3270767.02</v>
          </cell>
        </row>
        <row r="10">
          <cell r="E10">
            <v>1108790.01978</v>
          </cell>
          <cell r="F10">
            <v>347405.4924</v>
          </cell>
        </row>
        <row r="12">
          <cell r="B12">
            <v>7503524.34</v>
          </cell>
        </row>
        <row r="14">
          <cell r="E14">
            <v>4209477.15474</v>
          </cell>
          <cell r="F14">
            <v>2058888.4329</v>
          </cell>
        </row>
        <row r="16">
          <cell r="B16">
            <v>8465514.64</v>
          </cell>
        </row>
        <row r="18">
          <cell r="E18">
            <v>3089912.8436000003</v>
          </cell>
          <cell r="F18">
            <v>1011563.0514</v>
          </cell>
        </row>
      </sheetData>
      <sheetData sheetId="26">
        <row r="3">
          <cell r="C3">
            <v>1691639</v>
          </cell>
        </row>
        <row r="8">
          <cell r="B8">
            <v>287578.63</v>
          </cell>
        </row>
        <row r="10">
          <cell r="E10">
            <v>54959.182700000005</v>
          </cell>
          <cell r="F10">
            <v>5669.62308</v>
          </cell>
        </row>
        <row r="12">
          <cell r="B12">
            <v>659739.2100000001</v>
          </cell>
        </row>
        <row r="14">
          <cell r="E14">
            <v>208462.10385</v>
          </cell>
          <cell r="F14">
            <v>30284.448480000003</v>
          </cell>
        </row>
        <row r="16">
          <cell r="B16">
            <v>744321.16</v>
          </cell>
        </row>
        <row r="18">
          <cell r="E18">
            <v>153155.8314</v>
          </cell>
          <cell r="F18">
            <v>14674.31856</v>
          </cell>
        </row>
      </sheetData>
      <sheetData sheetId="27">
        <row r="3">
          <cell r="C3">
            <v>10104910</v>
          </cell>
        </row>
        <row r="8">
          <cell r="B8">
            <v>1616785.6</v>
          </cell>
        </row>
        <row r="10">
          <cell r="E10">
            <v>320123.54880000005</v>
          </cell>
          <cell r="F10">
            <v>25208.000000000004</v>
          </cell>
        </row>
        <row r="12">
          <cell r="B12">
            <v>3839865.8</v>
          </cell>
        </row>
        <row r="14">
          <cell r="E14">
            <v>1263315.8482</v>
          </cell>
          <cell r="F14">
            <v>139840</v>
          </cell>
        </row>
        <row r="16">
          <cell r="B16">
            <v>4648258.600000001</v>
          </cell>
        </row>
        <row r="18">
          <cell r="E18">
            <v>994727.3404000001</v>
          </cell>
          <cell r="F18">
            <v>143359</v>
          </cell>
        </row>
      </sheetData>
      <sheetData sheetId="28">
        <row r="3">
          <cell r="C3">
            <v>120642870</v>
          </cell>
        </row>
        <row r="8">
          <cell r="B8">
            <v>19302859.2</v>
          </cell>
        </row>
        <row r="10">
          <cell r="E10">
            <v>4632686.208</v>
          </cell>
          <cell r="F10">
            <v>628048.84368</v>
          </cell>
        </row>
        <row r="12">
          <cell r="B12">
            <v>45844290.6</v>
          </cell>
        </row>
        <row r="14">
          <cell r="E14">
            <v>18246027.658800002</v>
          </cell>
          <cell r="F14">
            <v>3492564.30144</v>
          </cell>
        </row>
        <row r="16">
          <cell r="B16">
            <v>55495720.2</v>
          </cell>
        </row>
        <row r="18">
          <cell r="E18">
            <v>14373391.531800002</v>
          </cell>
          <cell r="F18">
            <v>3611280.8511600005</v>
          </cell>
        </row>
      </sheetData>
      <sheetData sheetId="29">
        <row r="3">
          <cell r="C3">
            <v>6573580</v>
          </cell>
        </row>
        <row r="8">
          <cell r="B8">
            <v>1117508.6</v>
          </cell>
        </row>
        <row r="10">
          <cell r="E10">
            <v>0</v>
          </cell>
          <cell r="F10">
            <v>359.55000000000007</v>
          </cell>
        </row>
        <row r="12">
          <cell r="B12">
            <v>2563696.2</v>
          </cell>
        </row>
        <row r="14">
          <cell r="E14">
            <v>0</v>
          </cell>
          <cell r="F14">
            <v>859.95</v>
          </cell>
        </row>
        <row r="16">
          <cell r="B16">
            <v>2892375.2</v>
          </cell>
        </row>
        <row r="18">
          <cell r="E18">
            <v>0</v>
          </cell>
          <cell r="F18">
            <v>970.2</v>
          </cell>
        </row>
      </sheetData>
      <sheetData sheetId="30">
        <row r="3">
          <cell r="C3">
            <v>10103860</v>
          </cell>
        </row>
        <row r="8">
          <cell r="B8">
            <v>1616617.6</v>
          </cell>
        </row>
        <row r="10">
          <cell r="E10">
            <v>130946.02560000001</v>
          </cell>
          <cell r="F10">
            <v>10441.178240000001</v>
          </cell>
        </row>
        <row r="12">
          <cell r="B12">
            <v>3839466.8</v>
          </cell>
        </row>
        <row r="14">
          <cell r="E14">
            <v>502970.1508</v>
          </cell>
          <cell r="F14">
            <v>57492.98464</v>
          </cell>
        </row>
        <row r="16">
          <cell r="B16">
            <v>4647775.600000001</v>
          </cell>
        </row>
        <row r="18">
          <cell r="E18">
            <v>404356.4772</v>
          </cell>
          <cell r="F18">
            <v>58889.57536</v>
          </cell>
        </row>
      </sheetData>
      <sheetData sheetId="31">
        <row r="3">
          <cell r="C3">
            <v>4505672</v>
          </cell>
        </row>
        <row r="8">
          <cell r="B8">
            <v>720907.52</v>
          </cell>
        </row>
        <row r="10">
          <cell r="E10">
            <v>129286.12655999999</v>
          </cell>
          <cell r="F10">
            <v>43702.35264</v>
          </cell>
        </row>
        <row r="12">
          <cell r="B12">
            <v>1712155.36</v>
          </cell>
        </row>
        <row r="14">
          <cell r="E14">
            <v>507432.87231999997</v>
          </cell>
          <cell r="F14">
            <v>240742.30022</v>
          </cell>
        </row>
        <row r="16">
          <cell r="B16">
            <v>2072609.12</v>
          </cell>
        </row>
        <row r="18">
          <cell r="F18">
            <v>247798.40923999998</v>
          </cell>
        </row>
      </sheetData>
      <sheetData sheetId="32">
        <row r="3">
          <cell r="C3">
            <v>9546576</v>
          </cell>
        </row>
        <row r="8">
          <cell r="B8">
            <v>1527452.16</v>
          </cell>
        </row>
        <row r="10">
          <cell r="E10">
            <v>264253.48656</v>
          </cell>
          <cell r="F10">
            <v>0</v>
          </cell>
        </row>
        <row r="12">
          <cell r="B12">
            <v>3627698.88</v>
          </cell>
        </row>
        <row r="14">
          <cell r="E14">
            <v>1040443.2334200001</v>
          </cell>
          <cell r="F14">
            <v>0</v>
          </cell>
        </row>
        <row r="16">
          <cell r="B16">
            <v>4391424.96</v>
          </cell>
        </row>
        <row r="18">
          <cell r="F18">
            <v>0</v>
          </cell>
        </row>
      </sheetData>
      <sheetData sheetId="33">
        <row r="3">
          <cell r="C3">
            <v>43421021</v>
          </cell>
        </row>
        <row r="8">
          <cell r="B8">
            <v>7381573.57</v>
          </cell>
        </row>
        <row r="10">
          <cell r="E10">
            <v>69667.29135366</v>
          </cell>
          <cell r="F10">
            <v>18424.40763072</v>
          </cell>
        </row>
        <row r="12">
          <cell r="B12">
            <v>16934198.19</v>
          </cell>
        </row>
        <row r="14">
          <cell r="E14">
            <v>629952.1726680001</v>
          </cell>
          <cell r="F14">
            <v>116845.96751100001</v>
          </cell>
        </row>
        <row r="16">
          <cell r="B16">
            <v>19105249.24</v>
          </cell>
        </row>
        <row r="18">
          <cell r="F18">
            <v>24263.6665348</v>
          </cell>
        </row>
      </sheetData>
      <sheetData sheetId="34">
        <row r="3">
          <cell r="C3">
            <v>31340506</v>
          </cell>
        </row>
        <row r="8">
          <cell r="B8">
            <v>5014480.96</v>
          </cell>
        </row>
        <row r="10">
          <cell r="E10">
            <v>534909.22976</v>
          </cell>
          <cell r="F10">
            <v>259330.34431999997</v>
          </cell>
        </row>
        <row r="12">
          <cell r="B12">
            <v>11909392.28</v>
          </cell>
        </row>
        <row r="14">
          <cell r="E14">
            <v>2102116.3076</v>
          </cell>
          <cell r="F14">
            <v>1425186.09284</v>
          </cell>
        </row>
        <row r="16">
          <cell r="B16">
            <v>14416632.76</v>
          </cell>
        </row>
        <row r="18">
          <cell r="F18">
            <v>1465141.0586800002</v>
          </cell>
        </row>
      </sheetData>
      <sheetData sheetId="35">
        <row r="3">
          <cell r="C3">
            <v>21834095</v>
          </cell>
        </row>
        <row r="8">
          <cell r="B8">
            <v>3711796.1500000004</v>
          </cell>
        </row>
        <row r="10">
          <cell r="E10">
            <v>30050.690560000003</v>
          </cell>
          <cell r="F10">
            <v>148471.84600000002</v>
          </cell>
        </row>
        <row r="12">
          <cell r="B12">
            <v>8515297.05</v>
          </cell>
        </row>
        <row r="14">
          <cell r="E14">
            <v>114377.42784</v>
          </cell>
          <cell r="F14">
            <v>783407.3286</v>
          </cell>
        </row>
        <row r="16">
          <cell r="B16">
            <v>9607001.8</v>
          </cell>
        </row>
        <row r="18">
          <cell r="F18">
            <v>749346.1404</v>
          </cell>
        </row>
      </sheetData>
      <sheetData sheetId="36">
        <row r="3">
          <cell r="C3">
            <v>32823220</v>
          </cell>
        </row>
        <row r="8">
          <cell r="B8">
            <v>5579947.4</v>
          </cell>
        </row>
        <row r="10">
          <cell r="E10">
            <v>1288967.8494000002</v>
          </cell>
          <cell r="F10">
            <v>463135.63420000003</v>
          </cell>
        </row>
        <row r="12">
          <cell r="B12">
            <v>12801055.8</v>
          </cell>
        </row>
        <row r="14">
          <cell r="E14">
            <v>4890003.3156</v>
          </cell>
          <cell r="F14">
            <v>2470603.7694</v>
          </cell>
        </row>
        <row r="16">
          <cell r="B16">
            <v>14442216.8</v>
          </cell>
        </row>
        <row r="18">
          <cell r="F18">
            <v>2354081.3384000002</v>
          </cell>
        </row>
      </sheetData>
      <sheetData sheetId="37">
        <row r="3">
          <cell r="C3">
            <v>4641077</v>
          </cell>
        </row>
        <row r="8">
          <cell r="B8">
            <v>742572.3200000001</v>
          </cell>
        </row>
        <row r="10">
          <cell r="E10">
            <v>99504.69088000001</v>
          </cell>
          <cell r="F10">
            <v>39257.0112</v>
          </cell>
        </row>
        <row r="12">
          <cell r="B12">
            <v>1763609.26</v>
          </cell>
        </row>
        <row r="14">
          <cell r="E14">
            <v>389757.64646</v>
          </cell>
          <cell r="F14">
            <v>214017.6264</v>
          </cell>
        </row>
        <row r="16">
          <cell r="B16">
            <v>2134895.42</v>
          </cell>
        </row>
        <row r="18">
          <cell r="F18">
            <v>220597.6368</v>
          </cell>
        </row>
      </sheetData>
      <sheetData sheetId="38">
        <row r="3">
          <cell r="C3">
            <v>9511375</v>
          </cell>
        </row>
        <row r="8">
          <cell r="B8">
            <v>1616933.75</v>
          </cell>
        </row>
        <row r="10">
          <cell r="E10">
            <v>226370.72500000003</v>
          </cell>
          <cell r="F10">
            <v>38665.53151000001</v>
          </cell>
        </row>
        <row r="12">
          <cell r="B12">
            <v>3709436.25</v>
          </cell>
        </row>
        <row r="14">
          <cell r="E14">
            <v>860589.2100000001</v>
          </cell>
          <cell r="F14">
            <v>206020.51704</v>
          </cell>
        </row>
        <row r="16">
          <cell r="B16">
            <v>4185005</v>
          </cell>
        </row>
        <row r="18">
          <cell r="F18">
            <v>200150.98664000002</v>
          </cell>
        </row>
      </sheetData>
      <sheetData sheetId="39">
        <row r="3">
          <cell r="C3">
            <v>10805501</v>
          </cell>
        </row>
        <row r="8">
          <cell r="B8">
            <v>1836935.1700000002</v>
          </cell>
        </row>
        <row r="10">
          <cell r="E10">
            <v>365550.09883000003</v>
          </cell>
          <cell r="F10">
            <v>34901.76823</v>
          </cell>
        </row>
        <row r="12">
          <cell r="B12">
            <v>4214145.390000001</v>
          </cell>
        </row>
        <row r="14">
          <cell r="E14">
            <v>1390667.9787000003</v>
          </cell>
          <cell r="F14">
            <v>189636.54255</v>
          </cell>
        </row>
        <row r="16">
          <cell r="B16">
            <v>4754420.44</v>
          </cell>
        </row>
        <row r="18">
          <cell r="F18">
            <v>180667.97672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4" sqref="E4"/>
    </sheetView>
  </sheetViews>
  <sheetFormatPr defaultColWidth="9.140625" defaultRowHeight="12.75"/>
  <cols>
    <col min="1" max="1" width="16.57421875" style="0" customWidth="1"/>
    <col min="2" max="2" width="9.421875" style="0" customWidth="1"/>
    <col min="3" max="3" width="10.00390625" style="0" customWidth="1"/>
    <col min="4" max="4" width="9.421875" style="0" customWidth="1"/>
    <col min="7" max="7" width="12.8515625" style="0" customWidth="1"/>
  </cols>
  <sheetData>
    <row r="1" ht="12.75">
      <c r="A1" t="s">
        <v>0</v>
      </c>
    </row>
    <row r="3" spans="2:7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5" ht="12.75">
      <c r="A4" t="s">
        <v>7</v>
      </c>
      <c r="B4" s="1">
        <f>ascariasis!Y25</f>
        <v>3.713972848581835</v>
      </c>
      <c r="C4" s="1">
        <f>trichuriasis!V25</f>
        <v>79.22494761497394</v>
      </c>
      <c r="D4" s="1">
        <f>hookworm!R32</f>
        <v>115.62776534252508</v>
      </c>
      <c r="E4" s="1">
        <f>ascariasis!X25/(SUM(ascariasis!W25+trichuriasis!T25+hookworm!P32))</f>
        <v>3.4420543162255934</v>
      </c>
    </row>
    <row r="5" spans="1:5" ht="12.75">
      <c r="A5" t="s">
        <v>8</v>
      </c>
      <c r="B5" s="1">
        <f>ascariasis!Y32</f>
        <v>1.722976615863625</v>
      </c>
      <c r="C5" s="1">
        <f>trichuriasis!V32</f>
        <v>35.938134904670704</v>
      </c>
      <c r="D5" s="1">
        <f>hookworm!R45</f>
        <v>117.91933784828426</v>
      </c>
      <c r="E5" s="1">
        <f>ascariasis!X32/(SUM(ascariasis!W32+trichuriasis!T32+hookworm!P45))</f>
        <v>1.62154212652495</v>
      </c>
    </row>
    <row r="6" spans="1:5" ht="12.75">
      <c r="A6" t="s">
        <v>9</v>
      </c>
      <c r="B6" s="1">
        <f>ascariasis!Y46</f>
        <v>2.315420175434213</v>
      </c>
      <c r="C6" s="1">
        <f>trichuriasis!V46</f>
        <v>37.38247196990097</v>
      </c>
      <c r="D6" s="1">
        <f>hookworm!R71</f>
        <v>129.6490420736599</v>
      </c>
      <c r="E6" s="1">
        <f>ascariasis!X46/(SUM(ascariasis!W46+trichuriasis!T46+hookworm!P71))</f>
        <v>2.144309037921734</v>
      </c>
    </row>
    <row r="7" spans="1:5" ht="12.75">
      <c r="A7" t="s">
        <v>10</v>
      </c>
      <c r="B7" s="1">
        <f>ascariasis!Y53</f>
        <v>9.48919434937938</v>
      </c>
      <c r="C7" s="1">
        <f>trichuriasis!V53</f>
        <v>11855.25937933868</v>
      </c>
      <c r="D7" s="1">
        <f>hookworm!R84</f>
        <v>289.695248168955</v>
      </c>
      <c r="E7" s="1">
        <f>ascariasis!X53/(SUM(ascariasis!W53+trichuriasis!T53+hookworm!P84))</f>
        <v>9.181111125416475</v>
      </c>
    </row>
    <row r="8" spans="1:5" ht="12.75">
      <c r="A8" t="s">
        <v>11</v>
      </c>
      <c r="B8" s="1">
        <f>ascariasis!Y60</f>
        <v>6.053474985689629</v>
      </c>
      <c r="C8" s="1">
        <f>trichuriasis!V60</f>
        <v>196.4703252020722</v>
      </c>
      <c r="D8" s="1">
        <f>hookworm!R97</f>
        <v>84.35798906744763</v>
      </c>
      <c r="E8" s="1">
        <f>ascariasis!X60/(SUM(ascariasis!W60+trichuriasis!T60+hookworm!P97))</f>
        <v>5.490329188433116</v>
      </c>
    </row>
    <row r="9" spans="1:7" ht="12.75">
      <c r="A9" t="s">
        <v>12</v>
      </c>
      <c r="B9" s="1">
        <f>ascariasis!Y67</f>
        <v>11.561370443924323</v>
      </c>
      <c r="C9" s="1">
        <f>trichuriasis!V67</f>
        <v>190.96818465571073</v>
      </c>
      <c r="D9" s="1">
        <f>hookworm!R110</f>
        <v>114.88997922489507</v>
      </c>
      <c r="E9" s="1">
        <f>ascariasis!X67/(SUM(ascariasis!W67+trichuriasis!T67+hookworm!P110))</f>
        <v>9.956649749536231</v>
      </c>
      <c r="F9" s="1">
        <f>schisto!Q32</f>
        <v>513.9152567648614</v>
      </c>
      <c r="G9" s="1">
        <f>schisto!T22</f>
        <v>13.488959514997793</v>
      </c>
    </row>
    <row r="11" ht="12.75">
      <c r="A11" t="s">
        <v>13</v>
      </c>
    </row>
    <row r="13" spans="2:5" ht="12.75">
      <c r="B13" t="s">
        <v>1</v>
      </c>
      <c r="C13" t="s">
        <v>2</v>
      </c>
      <c r="D13" t="s">
        <v>3</v>
      </c>
      <c r="E13" t="s">
        <v>4</v>
      </c>
    </row>
    <row r="14" spans="1:5" ht="12.75">
      <c r="A14" t="s">
        <v>7</v>
      </c>
      <c r="B14" s="1">
        <f>1000000*1/B4</f>
        <v>269253.4492765196</v>
      </c>
      <c r="C14" s="1">
        <f>1000000*1/C4</f>
        <v>12622.28666732491</v>
      </c>
      <c r="D14" s="1">
        <f>1000000*1/D4</f>
        <v>8648.44180839863</v>
      </c>
      <c r="E14" s="1">
        <f>1000000*1/E4</f>
        <v>290524.1777522431</v>
      </c>
    </row>
    <row r="15" spans="1:5" ht="12.75">
      <c r="A15" t="s">
        <v>8</v>
      </c>
      <c r="B15" s="1">
        <f>1000000*1/B5</f>
        <v>580390.9297392059</v>
      </c>
      <c r="C15" s="1">
        <f>1000000*1/C5</f>
        <v>27825.59536416106</v>
      </c>
      <c r="D15" s="1">
        <f>1000000*1/D5</f>
        <v>8480.373264023972</v>
      </c>
      <c r="E15" s="1">
        <f>1000000*1/E5</f>
        <v>616696.898367391</v>
      </c>
    </row>
    <row r="16" spans="1:5" ht="12.75">
      <c r="A16" t="s">
        <v>9</v>
      </c>
      <c r="B16" s="1">
        <f>1000000*1/B6</f>
        <v>431887.05471674015</v>
      </c>
      <c r="C16" s="1">
        <f>1000000*1/C6</f>
        <v>26750.504910567826</v>
      </c>
      <c r="D16" s="1">
        <f>1000000*1/D6</f>
        <v>7713.13064875444</v>
      </c>
      <c r="E16" s="1">
        <f>1000000*1/E6</f>
        <v>466350.69027606247</v>
      </c>
    </row>
    <row r="17" spans="1:5" ht="12.75">
      <c r="A17" t="s">
        <v>10</v>
      </c>
      <c r="B17" s="1">
        <f>1000000*1/B7</f>
        <v>105383.0244361475</v>
      </c>
      <c r="C17" s="1">
        <f>1000000*1/C7</f>
        <v>84.35074830524567</v>
      </c>
      <c r="D17" s="1">
        <f>1000000*1/D7</f>
        <v>3451.903358168939</v>
      </c>
      <c r="E17" s="1">
        <f>1000000*1/E7</f>
        <v>108919.2785426217</v>
      </c>
    </row>
    <row r="18" spans="1:5" ht="12.75">
      <c r="A18" t="s">
        <v>11</v>
      </c>
      <c r="B18" s="1">
        <f>1000000*1/B8</f>
        <v>165194.37221827012</v>
      </c>
      <c r="C18" s="1">
        <f>1000000*1/C8</f>
        <v>5089.827173500566</v>
      </c>
      <c r="D18" s="1">
        <f>1000000*1/D8</f>
        <v>11854.241798017014</v>
      </c>
      <c r="E18" s="1">
        <f>1000000*1/E8</f>
        <v>182138.4411897877</v>
      </c>
    </row>
    <row r="19" spans="1:7" ht="12.75">
      <c r="A19" t="s">
        <v>12</v>
      </c>
      <c r="B19" s="1">
        <f>1000000*1/B9</f>
        <v>86494.93629239389</v>
      </c>
      <c r="C19" s="1">
        <f>1000000*1/C9</f>
        <v>5236.47434677594</v>
      </c>
      <c r="D19" s="1">
        <f>1000000*1/D9</f>
        <v>8703.97929172324</v>
      </c>
      <c r="E19" s="1">
        <f>1000000*1/E9</f>
        <v>100435.38993089306</v>
      </c>
      <c r="F19" s="1">
        <f>1000000*1/F9</f>
        <v>1945.846103684646</v>
      </c>
      <c r="G19" s="1">
        <f>1000000*1/G9</f>
        <v>74134.70244966952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workbookViewId="0" topLeftCell="A1">
      <selection activeCell="E27" sqref="E27"/>
    </sheetView>
  </sheetViews>
  <sheetFormatPr defaultColWidth="9.140625" defaultRowHeight="12.75"/>
  <cols>
    <col min="1" max="1" width="25.7109375" style="0" customWidth="1"/>
    <col min="2" max="2" width="16.28125" style="0" customWidth="1"/>
    <col min="3" max="3" width="11.28125" style="0" customWidth="1"/>
    <col min="4" max="5" width="16.28125" style="0" customWidth="1"/>
    <col min="6" max="6" width="15.8515625" style="0" customWidth="1"/>
  </cols>
  <sheetData>
    <row r="1" ht="12.75">
      <c r="A1" s="17" t="s">
        <v>85</v>
      </c>
    </row>
    <row r="3" spans="1:2" ht="12.75">
      <c r="A3" s="6" t="s">
        <v>86</v>
      </c>
      <c r="B3" s="18">
        <f>SUM('[1]Angola'!C3,'[1]Benin'!C3,'[1]Botswana'!C3,'[1]Burkina'!C3,'[1]Burundi'!C3,'[1]Cameroon'!C3,'[1]CAR'!C3,'[1]Chad'!C3,'[1]Congo'!C3,'[1]Coted''Ivoire'!C3,'[1]DRCongo'!C3,'[1]Eq Guina'!C3,'[1]Ethiopia'!C3,'[1]Gabon'!C3,'[1]Gambia'!C3,'[1]Ghana'!C3,'[1]Guina'!C3,'[1]Guina-Bis'!C3,'[1]Kenya'!C3,'[1]Liberia'!C3,'[1]Madagascar'!C3,'[1]Malawi'!C3,'[1]Mali'!C3,'[1]Mauritania'!C3,'[1]Mozambique'!C3,'[1]Namibia'!C3,'[1]Niger'!C3,'[1]Nigeria'!C3,'[1]Rwanda'!C3,'[1]Senegal'!C3)+SUM('[1]Sierra L'!C3,'[1]Somalia'!C3,'[1]SouthAfrica'!C3,'[1]Sudan'!C3,'[1]Uganda'!C3,'[1]Tanzania'!C3,'[1]Togo'!C3,'[1]Zambia'!C3,'[1]Zimbabwe'!C3)</f>
        <v>632253399</v>
      </c>
    </row>
    <row r="5" spans="1:6" ht="12.75">
      <c r="A5" s="6"/>
      <c r="B5" s="19" t="s">
        <v>59</v>
      </c>
      <c r="C5" s="19" t="s">
        <v>60</v>
      </c>
      <c r="D5" t="s">
        <v>87</v>
      </c>
      <c r="E5" s="19" t="s">
        <v>59</v>
      </c>
      <c r="F5" s="19" t="s">
        <v>60</v>
      </c>
    </row>
    <row r="6" spans="1:6" s="23" customFormat="1" ht="12.75">
      <c r="A6" s="20"/>
      <c r="B6" s="21"/>
      <c r="C6" s="22"/>
      <c r="D6" s="22"/>
      <c r="E6" s="22"/>
      <c r="F6" s="22"/>
    </row>
    <row r="7" ht="12.75">
      <c r="A7" s="24" t="s">
        <v>88</v>
      </c>
    </row>
    <row r="8" spans="1:3" ht="12.75">
      <c r="A8" s="25" t="s">
        <v>89</v>
      </c>
      <c r="B8" s="1">
        <f>SUM('[1]Angola'!B8,'[1]Benin'!B8,'[1]Botswana'!B8,'[1]Burkina'!B8,'[1]Burundi'!B8,'[1]Cameroon'!B8,'[1]CAR'!B8,'[1]Chad'!B8,'[1]Congo'!B8,'[1]Coted''Ivoire'!B8,'[1]DRCongo'!B8,'[1]Eq Guina'!B8,'[1]Ethiopia'!B8,'[1]Gabon'!B8,'[1]Gambia'!B8,'[1]Ghana'!B8,'[1]Guina'!B8,'[1]Guina-Bis'!B8,'[1]Kenya'!B8,'[1]Liberia'!B8,'[1]Madagascar'!B8,'[1]Malawi'!B8,'[1]Mali'!B8,'[1]Mauritania'!B8,'[1]Mozambique'!B8,'[1]Namibia'!B8,'[1]Niger'!B8,'[1]Nigeria'!B8,'[1]Rwanda'!B8,'[1]Senegal'!B8)+SUM('[1]Sierra L'!B8,'[1]Somalia'!B8,'[1]SouthAfrica'!B8,'[1]Sudan'!B8,'[1]Uganda'!B8,'[1]Tanzania'!B8,'[1]Togo'!B8,'[1]Zambia'!B8,'[1]Zimbabwe'!B8)</f>
        <v>104422812.65999998</v>
      </c>
      <c r="C8" s="1">
        <f>B8</f>
        <v>104422812.65999998</v>
      </c>
    </row>
    <row r="9" spans="1:3" ht="12.75">
      <c r="A9" s="25" t="s">
        <v>90</v>
      </c>
      <c r="B9" s="1">
        <f>SUM('[1]Angola'!E10,'[1]Benin'!E10,'[1]Botswana'!E10,'[1]Burkina'!E10,'[1]Burundi'!E10,'[1]Cameroon'!E10,'[1]CAR'!E10,'[1]Chad'!E10,'[1]Congo'!E10,'[1]Coted''Ivoire'!E10,'[1]DRCongo'!E10,'[1]Eq Guina'!E10,'[1]Ethiopia'!E10,'[1]Gabon'!E10,'[1]Gambia'!E10,'[1]Ghana'!E10,'[1]Guina'!E10,'[1]Guina-Bis'!E10,'[1]Kenya'!E10,'[1]Liberia'!E10,'[1]Madagascar'!E10,'[1]Malawi'!E10,'[1]Mali'!E10,'[1]Mauritania'!E10,'[1]Mozambique'!E10,'[1]Namibia'!E10,'[1]Niger'!E10,'[1]Nigeria'!E10,'[1]Rwanda'!E10,'[1]Senegal'!E10)+SUM('[1]Sierra L'!E10,'[1]Somalia'!E10,'[1]SouthAfrica'!E10,'[1]Sudan'!E10,'[1]Uganda'!E10,'[1]Tanzania'!E10,'[1]Togo'!E10,'[1]Zambia'!E10,'[1]Zimbabwe'!E10)</f>
        <v>14229073.107459936</v>
      </c>
      <c r="C9" s="1">
        <f>SUM('[1]Angola'!F10,'[1]Benin'!F10,'[1]Botswana'!F10,'[1]Burkina'!F10,'[1]Burundi'!F10,'[1]Cameroon'!F10,'[1]CAR'!F10,'[1]Chad'!F10,'[1]Congo'!F10,'[1]Coted''Ivoire'!F10,'[1]DRCongo'!F10,'[1]Eq Guina'!F10,'[1]Ethiopia'!F10,'[1]Gabon'!F10,'[1]Gambia'!F10,'[1]Ghana'!F10,'[1]Guina'!F10,'[1]Guina-Bis'!F10,'[1]Kenya'!F10,'[1]Liberia'!F10,'[1]Madagascar'!F10,'[1]Malawi'!F10,'[1]Mali'!F10,'[1]Mauritania'!F10,'[1]Mozambique'!F10,'[1]Namibia'!F10,'[1]Niger'!F10,'[1]Nigeria'!F10,'[1]Rwanda'!F10,'[1]Senegal'!F10)+SUM('[1]Sierra L'!F10,'[1]Somalia'!F10,'[1]SouthAfrica'!F10,'[1]Sudan'!F10,'[1]Uganda'!F10,'[1]Tanzania'!F10,'[1]Togo'!F10,'[1]Zambia'!F10,'[1]Zimbabwe'!F10)</f>
        <v>4685930.791289521</v>
      </c>
    </row>
    <row r="10" spans="1:4" ht="12.75">
      <c r="A10" s="26" t="s">
        <v>64</v>
      </c>
      <c r="B10" s="1">
        <f>B9/B8</f>
        <v>0.13626402837653595</v>
      </c>
      <c r="C10" s="1">
        <f>C9/C8</f>
        <v>0.0448745889133142</v>
      </c>
      <c r="D10" s="1">
        <f>B10+C10-B10*C10</f>
        <v>0.1750238250327809</v>
      </c>
    </row>
    <row r="11" spans="1:6" ht="12.75">
      <c r="A11" s="27" t="s">
        <v>91</v>
      </c>
      <c r="E11" s="28" t="s">
        <v>28</v>
      </c>
      <c r="F11" s="28" t="s">
        <v>28</v>
      </c>
    </row>
    <row r="12" spans="1:7" ht="12.75">
      <c r="A12" s="25" t="s">
        <v>89</v>
      </c>
      <c r="B12" s="1">
        <f>SUM('[1]Angola'!B12,'[1]Benin'!B12,'[1]Botswana'!B12,'[1]Burkina'!B12,'[1]Burundi'!B12,'[1]Cameroon'!B12,'[1]CAR'!B12,'[1]Chad'!B12,'[1]Congo'!B12,'[1]Coted''Ivoire'!B12,'[1]DRCongo'!B12,'[1]Eq Guina'!B12,'[1]Ethiopia'!B12,'[1]Gabon'!B12,'[1]Gambia'!B12,'[1]Ghana'!B12,'[1]Guina'!B12,'[1]Guina-Bis'!B12,'[1]Kenya'!B12,'[1]Liberia'!B12,'[1]Madagascar'!B12,'[1]Malawi'!B12,'[1]Mali'!B12,'[1]Mauritania'!B12,'[1]Mozambique'!B12,'[1]Namibia'!B12,'[1]Niger'!B12,'[1]Nigeria'!B12,'[1]Rwanda'!B12,'[1]Senegal'!B12)+SUM('[1]Sierra L'!B12,'[1]Somalia'!B12,'[1]SouthAfrica'!B12,'[1]Sudan'!B12,'[1]Uganda'!B12,'[1]Tanzania'!B12,'[1]Togo'!B12,'[1]Zambia'!B12,'[1]Zimbabwe'!B12)</f>
        <v>243518560.44000003</v>
      </c>
      <c r="C12" s="1">
        <f>B12</f>
        <v>243518560.44000003</v>
      </c>
      <c r="E12" s="1">
        <f>B12*(2/3)</f>
        <v>162345706.96</v>
      </c>
      <c r="F12" s="1">
        <f>C12*(2/3)</f>
        <v>162345706.96</v>
      </c>
      <c r="G12" t="s">
        <v>92</v>
      </c>
    </row>
    <row r="13" spans="1:6" ht="12.75">
      <c r="A13" s="25" t="s">
        <v>90</v>
      </c>
      <c r="B13" s="1">
        <f>SUM('[1]Angola'!E14,'[1]Benin'!E14,'[1]Botswana'!E14,'[1]Burkina'!E14,'[1]Burundi'!E14,'[1]Cameroon'!E14,'[1]CAR'!E14,'[1]Chad'!E14,'[1]Congo'!E14,'[1]Coted''Ivoire'!E14,'[1]DRCongo'!E14,'[1]Eq Guina'!E14,'[1]Ethiopia'!E14,'[1]Gabon'!E14,'[1]Gambia'!E14,'[1]Ghana'!E14,'[1]Guina'!E14,'[1]Guina-Bis'!E14,'[1]Kenya'!E14,'[1]Liberia'!E14,'[1]Madagascar'!E14,'[1]Malawi'!E14,'[1]Mali'!E14,'[1]Mauritania'!E14,'[1]Mozambique'!E14,'[1]Namibia'!E14,'[1]Niger'!E14,'[1]Nigeria'!E14,'[1]Rwanda'!E14,'[1]Senegal'!E14)+SUM('[1]Sierra L'!E14,'[1]Somalia'!E14,'[1]SouthAfrica'!E14,'[1]Sudan'!E14,'[1]Uganda'!E14,'[1]Tanzania'!E14,'[1]Togo'!E14,'[1]Zambia'!E14,'[1]Zimbabwe'!E14)</f>
        <v>55735097.35979494</v>
      </c>
      <c r="C13" s="1">
        <f>SUM('[1]Angola'!F14,'[1]Benin'!F14,'[1]Botswana'!F14,'[1]Burkina'!F14,'[1]Burundi'!F14,'[1]Cameroon'!F14,'[1]CAR'!F14,'[1]Chad'!F14,'[1]Congo'!F14,'[1]Coted''Ivoire'!F14,'[1]DRCongo'!F14,'[1]Eq Guina'!F14,'[1]Ethiopia'!F14,'[1]Gabon'!F14,'[1]Gambia'!F14,'[1]Ghana'!F14,'[1]Guina'!F14,'[1]Guina-Bis'!F14,'[1]Kenya'!F14,'[1]Liberia'!F14,'[1]Madagascar'!F14,'[1]Malawi'!F14,'[1]Mali'!F14,'[1]Mauritania'!F14,'[1]Mozambique'!F14,'[1]Namibia'!F14,'[1]Niger'!F14,'[1]Nigeria'!F14,'[1]Rwanda'!F14,'[1]Senegal'!F14)+SUM('[1]Sierra L'!F14,'[1]Somalia'!F14,'[1]SouthAfrica'!F14,'[1]Sudan'!F14,'[1]Uganda'!F14,'[1]Tanzania'!F14,'[1]Togo'!F14,'[1]Zambia'!F14,'[1]Zimbabwe'!F14)</f>
        <v>25244573.1669193</v>
      </c>
      <c r="E13" s="1">
        <f>B13*(2/3)</f>
        <v>37156731.57319662</v>
      </c>
      <c r="F13" s="1">
        <f>C13*(2/3)</f>
        <v>16829715.444612864</v>
      </c>
    </row>
    <row r="14" spans="1:7" ht="12.75">
      <c r="A14" s="26" t="s">
        <v>64</v>
      </c>
      <c r="B14" s="1">
        <f>B13/B12</f>
        <v>0.22887412466257323</v>
      </c>
      <c r="C14" s="1">
        <f>C13/C12</f>
        <v>0.10366590998774917</v>
      </c>
      <c r="D14" s="1">
        <f>B14+C14-B14*C14</f>
        <v>0.3088135902445272</v>
      </c>
      <c r="E14" s="1">
        <f>E13/E12</f>
        <v>0.2288741246625732</v>
      </c>
      <c r="F14" s="1">
        <f>F13/F12</f>
        <v>0.10366590998774916</v>
      </c>
      <c r="G14" t="s">
        <v>93</v>
      </c>
    </row>
    <row r="15" spans="1:7" ht="12.75">
      <c r="A15" s="6" t="s">
        <v>94</v>
      </c>
      <c r="E15" s="6" t="s">
        <v>29</v>
      </c>
      <c r="F15" s="6" t="s">
        <v>29</v>
      </c>
      <c r="G15" t="s">
        <v>95</v>
      </c>
    </row>
    <row r="16" spans="1:6" ht="12.75">
      <c r="A16" s="25" t="s">
        <v>89</v>
      </c>
      <c r="B16" s="1">
        <f>SUM('[1]Angola'!B16,'[1]Benin'!B16,'[1]Botswana'!B16,'[1]Burkina'!B16,'[1]Burundi'!B16,'[1]Cameroon'!B16,'[1]CAR'!B16,'[1]Chad'!B16,'[1]Congo'!B16,'[1]Coted''Ivoire'!B16,'[1]DRCongo'!B16,'[1]Eq Guina'!B16,'[1]Ethiopia'!B16,'[1]Gabon'!B16,'[1]Gambia'!B16,'[1]Ghana'!B16,'[1]Guina'!B16,'[1]Guina-Bis'!B16,'[1]Kenya'!B16,'[1]Liberia'!B16,'[1]Madagascar'!B16,'[1]Malawi'!B16,'[1]Mali'!B16,'[1]Mauritania'!B16,'[1]Mozambique'!B16,'[1]Namibia'!B16,'[1]Niger'!B16,'[1]Nigeria'!B16,'[1]Rwanda'!B16,'[1]Senegal'!B16)+SUM('[1]Sierra L'!B16,'[1]Somalia'!B16,'[1]SouthAfrica'!B16,'[1]Sudan'!B16,'[1]Uganda'!B16,'[1]Tanzania'!B16,'[1]Togo'!B16,'[1]Zambia'!B16,'[1]Zimbabwe'!B16)</f>
        <v>284312025.90000004</v>
      </c>
      <c r="C16" s="1">
        <f>B16</f>
        <v>284312025.90000004</v>
      </c>
      <c r="E16" s="1">
        <f>B16+B12*(1/3)</f>
        <v>365484879.38000005</v>
      </c>
      <c r="F16" s="1">
        <f>C16+C12*(1/3)</f>
        <v>365484879.38000005</v>
      </c>
    </row>
    <row r="17" spans="1:6" ht="12.75">
      <c r="A17" s="25" t="s">
        <v>90</v>
      </c>
      <c r="B17" s="1">
        <f>SUM('[1]Angola'!E18,'[1]Benin'!E18,'[1]Botswana'!E18,'[1]Burkina'!E18,'[1]Burundi'!E18,'[1]Cameroon'!E18,'[1]CAR'!E18,'[1]Chad'!E18,'[1]Congo'!E18,'[1]Coted''Ivoire'!E18,'[1]DRCongo'!E18,'[1]Eq Guina'!E18,'[1]Ethiopia'!E18,'[1]Gabon'!E18,'[1]Gambia'!E18,'[1]Ghana'!E18,'[1]Guina'!E18,'[1]Guina-Bis'!E18,'[1]Kenya'!E18,'[1]Liberia'!E18,'[1]Madagascar'!E18,'[1]Malawi'!E18,'[1]Mali'!E18,'[1]Mauritania'!E18,'[1]Mozambique'!E18,'[1]Namibia'!E18,'[1]Niger'!E18,'[1]Nigeria'!E18,'[1]Rwanda'!E18,'[1]Senegal'!E18)</f>
        <v>33860428.96172074</v>
      </c>
      <c r="C17" s="1">
        <f>SUM('[1]Angola'!F18,'[1]Benin'!F18,'[1]Botswana'!F18,'[1]Burkina'!F18,'[1]Burundi'!F18,'[1]Cameroon'!F18,'[1]CAR'!F18,'[1]Chad'!F18,'[1]Congo'!F18,'[1]Coted''Ivoire'!F18,'[1]DRCongo'!F18,'[1]Eq Guina'!F18,'[1]Ethiopia'!F18,'[1]Gabon'!F18,'[1]Gambia'!F18,'[1]Ghana'!F18,'[1]Guina'!F18,'[1]Guina-Bis'!F18,'[1]Kenya'!F18,'[1]Liberia'!F18,'[1]Madagascar'!F18,'[1]Malawi'!F18,'[1]Mali'!F18,'[1]Mauritania'!F18,'[1]Mozambique'!F18,'[1]Namibia'!F18,'[1]Niger'!F18,'[1]Nigeria'!F18,'[1]Rwanda'!F18,'[1]Senegal'!F18)+SUM('[1]Sierra L'!F18,'[1]Somalia'!F18,'[1]SouthAfrica'!F18,'[1]Sudan'!F18,'[1]Uganda'!F18,'[1]Tanzania'!F18,'[1]Togo'!F18,'[1]Zambia'!F18,'[1]Zimbabwe'!F18)</f>
        <v>23535944.0436462</v>
      </c>
      <c r="E17" s="1">
        <f>B17+B13*(1/3)</f>
        <v>52438794.74831905</v>
      </c>
      <c r="F17" s="1">
        <f>C17+C13*(1/3)</f>
        <v>31950801.76595263</v>
      </c>
    </row>
    <row r="18" spans="1:6" ht="12.75">
      <c r="A18" s="26" t="s">
        <v>64</v>
      </c>
      <c r="B18" s="1">
        <f>B17/B16</f>
        <v>0.11909601380572744</v>
      </c>
      <c r="C18" s="1">
        <f>C17/C16</f>
        <v>0.08278209115193885</v>
      </c>
      <c r="D18" s="1">
        <f>B18+C18-B18*C18</f>
        <v>0.19201908788696798</v>
      </c>
      <c r="E18" s="1">
        <f>E17/E16</f>
        <v>0.14347733027225365</v>
      </c>
      <c r="F18" s="1">
        <f>F17/F16</f>
        <v>0.08742031084884612</v>
      </c>
    </row>
    <row r="19" ht="12.75">
      <c r="A19" s="6" t="s">
        <v>96</v>
      </c>
    </row>
    <row r="20" spans="1:3" ht="12.75">
      <c r="A20" s="25" t="s">
        <v>89</v>
      </c>
      <c r="B20" s="1">
        <f>SUM(B8,B12,B16)</f>
        <v>632253399</v>
      </c>
      <c r="C20" s="1">
        <f>B20</f>
        <v>632253399</v>
      </c>
    </row>
    <row r="21" spans="1:3" ht="12.75">
      <c r="A21" s="25" t="s">
        <v>90</v>
      </c>
      <c r="B21" s="1">
        <f>SUM(B17,B13,B9)</f>
        <v>103824599.42897561</v>
      </c>
      <c r="C21" s="1">
        <f>SUM(C17,C13,C9)</f>
        <v>53466448.00185502</v>
      </c>
    </row>
    <row r="22" spans="1:4" ht="12.75">
      <c r="A22" s="25" t="s">
        <v>64</v>
      </c>
      <c r="B22" s="1">
        <f>B21/B20</f>
        <v>0.16421358840172184</v>
      </c>
      <c r="C22" s="1">
        <f>C21/C20</f>
        <v>0.08456490401857851</v>
      </c>
      <c r="D22" s="1">
        <f>B22+C22-B22*C22</f>
        <v>0.2348917860785624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D4" sqref="D4"/>
    </sheetView>
  </sheetViews>
  <sheetFormatPr defaultColWidth="9.140625" defaultRowHeight="12.75"/>
  <cols>
    <col min="2" max="2" width="14.140625" style="0" customWidth="1"/>
    <col min="3" max="3" width="12.00390625" style="0" customWidth="1"/>
    <col min="4" max="4" width="12.7109375" style="0" customWidth="1"/>
    <col min="5" max="5" width="15.57421875" style="0" customWidth="1"/>
    <col min="6" max="6" width="12.57421875" style="0" customWidth="1"/>
    <col min="7" max="7" width="14.28125" style="0" customWidth="1"/>
    <col min="8" max="8" width="18.00390625" style="0" customWidth="1"/>
  </cols>
  <sheetData>
    <row r="1" ht="12.75">
      <c r="A1" t="s">
        <v>97</v>
      </c>
    </row>
    <row r="3" spans="1:8" ht="12.75">
      <c r="A3" s="6" t="s">
        <v>12</v>
      </c>
      <c r="B3" t="s">
        <v>98</v>
      </c>
      <c r="C3" t="s">
        <v>99</v>
      </c>
      <c r="D3" t="s">
        <v>100</v>
      </c>
      <c r="E3" t="s">
        <v>101</v>
      </c>
      <c r="F3" t="s">
        <v>102</v>
      </c>
      <c r="G3" t="s">
        <v>103</v>
      </c>
      <c r="H3" s="29" t="s">
        <v>104</v>
      </c>
    </row>
    <row r="4" spans="1:8" ht="12.75">
      <c r="A4" t="s">
        <v>27</v>
      </c>
      <c r="B4">
        <v>57116701.98570986</v>
      </c>
      <c r="C4">
        <v>27.443853346205742</v>
      </c>
      <c r="D4" s="1">
        <f>C4/B4</f>
        <v>4.804873599507194E-07</v>
      </c>
      <c r="E4">
        <v>56160032.14754955</v>
      </c>
      <c r="F4">
        <v>11.117953557624332</v>
      </c>
      <c r="G4" s="1">
        <f>F4/E4</f>
        <v>1.9796914518164938E-07</v>
      </c>
      <c r="H4" s="1">
        <f>(F4+C4)/(E4+B4)</f>
        <v>3.4042124535887255E-07</v>
      </c>
    </row>
    <row r="5" spans="1:8" ht="12.75">
      <c r="A5" t="s">
        <v>28</v>
      </c>
      <c r="B5">
        <v>91675297.48845977</v>
      </c>
      <c r="C5">
        <v>22.772618052652547</v>
      </c>
      <c r="D5" s="1">
        <f>C5/B5</f>
        <v>2.484051721295936E-07</v>
      </c>
      <c r="E5">
        <v>90545559.186899</v>
      </c>
      <c r="F5">
        <v>41.12629170024229</v>
      </c>
      <c r="G5" s="1">
        <f>F5/E5</f>
        <v>4.542055079184141E-07</v>
      </c>
      <c r="H5" s="1">
        <f>(F5+C5)/(E5+B5)</f>
        <v>3.5066737649431605E-07</v>
      </c>
    </row>
    <row r="6" spans="1:8" ht="12.75">
      <c r="A6" t="s">
        <v>74</v>
      </c>
      <c r="B6">
        <v>93064095.01579304</v>
      </c>
      <c r="C6">
        <v>214.0688707333269</v>
      </c>
      <c r="D6" s="1">
        <f>C6/B6</f>
        <v>2.3002305099189893E-06</v>
      </c>
      <c r="E6">
        <v>93322574.65337206</v>
      </c>
      <c r="F6">
        <v>352.98824373971104</v>
      </c>
      <c r="G6" s="1">
        <f>F6/E6</f>
        <v>3.7824529065000068E-06</v>
      </c>
      <c r="H6" s="1">
        <f>(F6+C6)/(E6+B6)</f>
        <v>3.0423694756688335E-06</v>
      </c>
    </row>
    <row r="7" spans="1:8" ht="12.75">
      <c r="A7" t="s">
        <v>75</v>
      </c>
      <c r="B7">
        <v>48960897.83586587</v>
      </c>
      <c r="C7">
        <v>924.1906173399302</v>
      </c>
      <c r="D7" s="1">
        <f>C7/B7</f>
        <v>1.8876096194929714E-05</v>
      </c>
      <c r="E7">
        <v>50686262.03873826</v>
      </c>
      <c r="F7">
        <v>187.89288130233297</v>
      </c>
      <c r="G7" s="1">
        <f>F7/E7</f>
        <v>3.7069784542156824E-06</v>
      </c>
      <c r="H7" s="1">
        <f>(F7+C7)/(E7+B7)</f>
        <v>1.1160212694889728E-05</v>
      </c>
    </row>
    <row r="8" spans="1:8" ht="12.75">
      <c r="A8" t="s">
        <v>76</v>
      </c>
      <c r="B8">
        <v>26327542.765176646</v>
      </c>
      <c r="C8">
        <v>2849.7818948162358</v>
      </c>
      <c r="D8" s="1">
        <f>C8/B8</f>
        <v>0.0001082433678005694</v>
      </c>
      <c r="E8">
        <v>28452568.270885605</v>
      </c>
      <c r="F8">
        <v>776.6489220026231</v>
      </c>
      <c r="G8" s="1">
        <f>F8/E8</f>
        <v>2.7296267760732776E-05</v>
      </c>
      <c r="H8" s="1">
        <f>(F8+C8)/(E8+B8)</f>
        <v>6.619977119855683E-05</v>
      </c>
    </row>
    <row r="9" spans="1:8" ht="12.75">
      <c r="A9" t="s">
        <v>77</v>
      </c>
      <c r="B9">
        <v>9243431.941313991</v>
      </c>
      <c r="C9">
        <v>3170.316426635036</v>
      </c>
      <c r="D9" s="1">
        <f>C9/B9</f>
        <v>0.0003429804478210246</v>
      </c>
      <c r="E9">
        <v>10712146.34860259</v>
      </c>
      <c r="F9">
        <v>869.7357003705367</v>
      </c>
      <c r="G9" s="1">
        <f>F9/E9</f>
        <v>8.119154388550663E-05</v>
      </c>
      <c r="H9" s="1">
        <f>(F9+C9)/(E9+B9)</f>
        <v>0.0002024522701528015</v>
      </c>
    </row>
    <row r="10" spans="1:8" ht="12.75">
      <c r="A10" t="s">
        <v>78</v>
      </c>
      <c r="B10">
        <v>4065470.230913291</v>
      </c>
      <c r="C10">
        <v>1780.6202859404589</v>
      </c>
      <c r="D10" s="1">
        <f>C10/B10</f>
        <v>0.00043798630534811465</v>
      </c>
      <c r="E10">
        <v>5114709.212723943</v>
      </c>
      <c r="F10">
        <v>1708.0226378766401</v>
      </c>
      <c r="G10" s="1">
        <f>F10/E10</f>
        <v>0.00033394325402264614</v>
      </c>
      <c r="H10" s="1">
        <f>(F10+C10)/(E10+B10)</f>
        <v>0.00038001903396725766</v>
      </c>
    </row>
    <row r="11" spans="1:8" ht="12.75">
      <c r="A11" t="s">
        <v>79</v>
      </c>
      <c r="B11">
        <v>890604.6643438509</v>
      </c>
      <c r="C11">
        <v>461.0540733258665</v>
      </c>
      <c r="D11" s="1">
        <f>C11/B11</f>
        <v>0.0005176865693439256</v>
      </c>
      <c r="E11">
        <v>1324703.214752674</v>
      </c>
      <c r="F11">
        <v>1051.3746143980834</v>
      </c>
      <c r="G11" s="1">
        <f>F11/E11</f>
        <v>0.0007936680478233595</v>
      </c>
      <c r="H11" s="1">
        <f>(F11+C11)/(E11+B11)</f>
        <v>0.0006827171527691979</v>
      </c>
    </row>
    <row r="13" spans="1:8" ht="12.75">
      <c r="A13" t="s">
        <v>29</v>
      </c>
      <c r="B13" s="1">
        <f>SUM(B6:B11)</f>
        <v>182552042.4534067</v>
      </c>
      <c r="C13" s="1">
        <f>SUM(C6:C11)</f>
        <v>9400.032168790853</v>
      </c>
      <c r="D13" s="1">
        <f>C13/B13</f>
        <v>5.149234181365049E-05</v>
      </c>
      <c r="E13" s="1">
        <f>SUM(E6:E11)</f>
        <v>189612963.73907512</v>
      </c>
      <c r="F13" s="1">
        <f>SUM(F6:F11)</f>
        <v>4946.662999689927</v>
      </c>
      <c r="G13" s="1">
        <f>F13/E13</f>
        <v>2.60882109648209E-05</v>
      </c>
      <c r="H13" s="1">
        <f>(F13+C13)/(E13+B13)</f>
        <v>3.854928574628197E-05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3"/>
  <sheetViews>
    <sheetView workbookViewId="0" topLeftCell="A1">
      <selection activeCell="F2" sqref="F2"/>
    </sheetView>
  </sheetViews>
  <sheetFormatPr defaultColWidth="9.140625" defaultRowHeight="12.75"/>
  <cols>
    <col min="1" max="1" width="26.00390625" style="0" customWidth="1"/>
    <col min="2" max="2" width="11.421875" style="0" customWidth="1"/>
    <col min="3" max="5" width="12.00390625" style="0" customWidth="1"/>
  </cols>
  <sheetData>
    <row r="1" ht="12.75">
      <c r="A1" t="s">
        <v>105</v>
      </c>
    </row>
    <row r="2" spans="1:7" ht="12.75">
      <c r="A2" t="s">
        <v>73</v>
      </c>
      <c r="B2" t="s">
        <v>106</v>
      </c>
      <c r="C2" t="s">
        <v>107</v>
      </c>
      <c r="D2" t="s">
        <v>108</v>
      </c>
      <c r="E2" t="s">
        <v>108</v>
      </c>
      <c r="F2" t="s">
        <v>109</v>
      </c>
      <c r="G2" t="s">
        <v>109</v>
      </c>
    </row>
    <row r="3" spans="2:7" ht="12.75">
      <c r="B3" t="s">
        <v>110</v>
      </c>
      <c r="C3" t="s">
        <v>73</v>
      </c>
      <c r="D3" t="s">
        <v>73</v>
      </c>
      <c r="E3" t="s">
        <v>111</v>
      </c>
      <c r="F3" t="s">
        <v>111</v>
      </c>
      <c r="G3" t="s">
        <v>111</v>
      </c>
    </row>
    <row r="4" spans="2:7" ht="12.75">
      <c r="B4" t="s">
        <v>27</v>
      </c>
      <c r="C4">
        <v>55259.657716091126</v>
      </c>
      <c r="D4">
        <v>62.79666666666666</v>
      </c>
      <c r="E4" s="1">
        <f>D4</f>
        <v>62.79666666666666</v>
      </c>
      <c r="F4" s="1">
        <f>((D4*C4)+(D16*C16))/(C4+C16)</f>
        <v>64.29487520239418</v>
      </c>
      <c r="G4" s="1">
        <f>F4</f>
        <v>64.29487520239418</v>
      </c>
    </row>
    <row r="5" spans="2:7" ht="12.75">
      <c r="B5" t="s">
        <v>28</v>
      </c>
      <c r="C5">
        <v>107924.09003890178</v>
      </c>
      <c r="D5">
        <v>57.77333333333333</v>
      </c>
      <c r="E5" s="1">
        <f>D5</f>
        <v>57.77333333333333</v>
      </c>
      <c r="F5" s="1">
        <f>((D5*C5)+(D17*C17))/(C5+C17)</f>
        <v>59.16846093762806</v>
      </c>
      <c r="G5" s="1">
        <f>F5</f>
        <v>59.16846093762806</v>
      </c>
    </row>
    <row r="6" spans="2:7" ht="12.75">
      <c r="B6" t="s">
        <v>74</v>
      </c>
      <c r="C6">
        <v>136449.95912389897</v>
      </c>
      <c r="D6">
        <v>46.6125</v>
      </c>
      <c r="E6" s="1">
        <f>((D6*C6)+(D7*C7)+(D8*C8)+(D9*C9)+(D10*C10)+(D11*C11))/(SUM(C6:C11))</f>
        <v>34.106922237027064</v>
      </c>
      <c r="F6" s="1">
        <f>((D6*C6)+(D18*C18))/(C6+C18)</f>
        <v>47.98067532792431</v>
      </c>
      <c r="G6" s="1">
        <f>((F6*(C6+C18))+(F7*(C7+C19))+(F8*(C8+C20))+(F9*(C9+C21))+(F10*(C10+C22))+(F11*(C11+C23)))/(SUM(C6:C11,C18:C23))</f>
        <v>34.967698247695</v>
      </c>
    </row>
    <row r="7" spans="2:6" ht="12.75">
      <c r="B7" t="s">
        <v>75</v>
      </c>
      <c r="C7">
        <v>104514.55879901336</v>
      </c>
      <c r="D7">
        <v>33.785</v>
      </c>
      <c r="F7" s="1">
        <f>((D7*C7)+(D19*C19))/(C7+C19)</f>
        <v>35.164615333750234</v>
      </c>
    </row>
    <row r="8" spans="2:6" ht="12.75">
      <c r="B8" t="s">
        <v>76</v>
      </c>
      <c r="C8">
        <v>62556.21387263069</v>
      </c>
      <c r="D8">
        <v>21.6575</v>
      </c>
      <c r="F8" s="1">
        <f>((D8*C8)+(D20*C20))/(C8+C20)</f>
        <v>22.823808153875692</v>
      </c>
    </row>
    <row r="9" spans="2:6" ht="12.75">
      <c r="B9" t="s">
        <v>77</v>
      </c>
      <c r="C9">
        <v>23781.600834440495</v>
      </c>
      <c r="D9">
        <v>12.96</v>
      </c>
      <c r="F9" s="1">
        <f>((D9*C9)+(D21*C21))/(C9+C21)</f>
        <v>13.737806406090101</v>
      </c>
    </row>
    <row r="10" spans="2:6" ht="12.75">
      <c r="B10" t="s">
        <v>78</v>
      </c>
      <c r="C10">
        <v>11750.675702290235</v>
      </c>
      <c r="D10">
        <v>7.706666666666666</v>
      </c>
      <c r="F10" s="1">
        <f>((D10*C10)+(D22*C22))/(C10+C22)</f>
        <v>8.131247152819451</v>
      </c>
    </row>
    <row r="11" spans="2:6" ht="12.75">
      <c r="B11" t="s">
        <v>79</v>
      </c>
      <c r="C11">
        <v>2835.1986967562684</v>
      </c>
      <c r="D11">
        <v>5.6</v>
      </c>
      <c r="F11" s="1">
        <f>((D11*C11)+(D23*C23))/(C11+C23)</f>
        <v>5.87110384310274</v>
      </c>
    </row>
    <row r="14" spans="2:5" ht="12.75">
      <c r="B14" t="s">
        <v>112</v>
      </c>
      <c r="C14" t="s">
        <v>107</v>
      </c>
      <c r="D14" t="s">
        <v>108</v>
      </c>
      <c r="E14" t="s">
        <v>108</v>
      </c>
    </row>
    <row r="15" spans="2:5" ht="12.75">
      <c r="B15" t="s">
        <v>110</v>
      </c>
      <c r="C15" t="s">
        <v>73</v>
      </c>
      <c r="D15" t="s">
        <v>73</v>
      </c>
      <c r="E15" t="s">
        <v>111</v>
      </c>
    </row>
    <row r="16" spans="2:5" ht="12.75">
      <c r="B16" t="s">
        <v>27</v>
      </c>
      <c r="C16">
        <v>52450.229276826496</v>
      </c>
      <c r="D16">
        <v>65.87333333333333</v>
      </c>
      <c r="E16" s="1">
        <f>D16</f>
        <v>65.87333333333333</v>
      </c>
    </row>
    <row r="17" spans="2:5" ht="12.75">
      <c r="B17" t="s">
        <v>28</v>
      </c>
      <c r="C17">
        <v>102088.74857248932</v>
      </c>
      <c r="D17">
        <v>60.64333333333334</v>
      </c>
      <c r="E17" s="1">
        <f>D17</f>
        <v>60.64333333333334</v>
      </c>
    </row>
    <row r="18" spans="2:5" ht="12.75">
      <c r="B18" t="s">
        <v>74</v>
      </c>
      <c r="C18">
        <v>130612.35926088935</v>
      </c>
      <c r="D18">
        <v>49.41</v>
      </c>
      <c r="E18" s="1">
        <f>((D18*C18)+(D19*C19)+(D20*C20)+(D21*C21)+(D22*C22)+(D23*C23))/(SUM(C18:C23))</f>
        <v>35.83226528334499</v>
      </c>
    </row>
    <row r="19" spans="2:4" ht="12.75">
      <c r="B19" t="s">
        <v>75</v>
      </c>
      <c r="C19">
        <v>101514.67510555778</v>
      </c>
      <c r="D19">
        <v>36.585</v>
      </c>
    </row>
    <row r="20" spans="2:4" ht="12.75">
      <c r="B20" t="s">
        <v>76</v>
      </c>
      <c r="C20">
        <v>62428.62270083848</v>
      </c>
      <c r="D20">
        <v>23.9925</v>
      </c>
    </row>
    <row r="21" spans="2:4" ht="12.75">
      <c r="B21" t="s">
        <v>77</v>
      </c>
      <c r="C21">
        <v>25972.546838782306</v>
      </c>
      <c r="D21">
        <v>14.45</v>
      </c>
    </row>
    <row r="22" spans="2:4" ht="12.75">
      <c r="B22" t="s">
        <v>78</v>
      </c>
      <c r="C22">
        <v>15023.532730515313</v>
      </c>
      <c r="D22">
        <v>8.463333333333333</v>
      </c>
    </row>
    <row r="23" spans="2:4" ht="12.75">
      <c r="B23" t="s">
        <v>79</v>
      </c>
      <c r="C23">
        <v>4837.3307300785655</v>
      </c>
      <c r="D23">
        <v>6.03</v>
      </c>
    </row>
    <row r="26" ht="12.75">
      <c r="A26" t="s">
        <v>113</v>
      </c>
    </row>
    <row r="27" spans="1:7" ht="12.75">
      <c r="A27" t="s">
        <v>8</v>
      </c>
      <c r="B27" t="s">
        <v>106</v>
      </c>
      <c r="C27" t="s">
        <v>107</v>
      </c>
      <c r="D27" t="s">
        <v>108</v>
      </c>
      <c r="E27" t="s">
        <v>108</v>
      </c>
      <c r="F27" t="s">
        <v>109</v>
      </c>
      <c r="G27" t="s">
        <v>109</v>
      </c>
    </row>
    <row r="28" spans="2:7" ht="12.75">
      <c r="B28" t="s">
        <v>110</v>
      </c>
      <c r="C28" t="s">
        <v>8</v>
      </c>
      <c r="D28" t="s">
        <v>8</v>
      </c>
      <c r="E28" t="s">
        <v>111</v>
      </c>
      <c r="F28" t="s">
        <v>111</v>
      </c>
      <c r="G28" t="s">
        <v>111</v>
      </c>
    </row>
    <row r="29" spans="2:7" ht="12.75">
      <c r="B29" t="s">
        <v>27</v>
      </c>
      <c r="C29">
        <v>43435.00590196966</v>
      </c>
      <c r="D29">
        <v>67.58</v>
      </c>
      <c r="E29" s="1">
        <f>D29</f>
        <v>67.58</v>
      </c>
      <c r="F29" s="1">
        <f>((D29*C29)+(D41*C41))/(C29+C41)</f>
        <v>69.0636264019544</v>
      </c>
      <c r="G29" s="1">
        <f>F29</f>
        <v>69.0636264019544</v>
      </c>
    </row>
    <row r="30" spans="2:7" ht="12.75">
      <c r="B30" t="s">
        <v>28</v>
      </c>
      <c r="C30">
        <v>94588.7355226454</v>
      </c>
      <c r="D30">
        <v>61.16</v>
      </c>
      <c r="E30" s="1">
        <f>D30</f>
        <v>61.16</v>
      </c>
      <c r="F30" s="1">
        <f>((D30*C30)+(D42*C42))/(C30+C42)</f>
        <v>62.494256729949576</v>
      </c>
      <c r="G30" s="1">
        <f>F30</f>
        <v>62.494256729949576</v>
      </c>
    </row>
    <row r="31" spans="2:7" ht="12.75">
      <c r="B31" t="s">
        <v>74</v>
      </c>
      <c r="C31">
        <v>132048.2217500288</v>
      </c>
      <c r="D31">
        <v>49.4475</v>
      </c>
      <c r="E31" s="1">
        <f>((D31*C31)+(D32*C32)+(D33*C33)+(D34*C34)+(D35*C35)+(D36*C36))/(SUM(C31:C36))</f>
        <v>35.07010836257669</v>
      </c>
      <c r="F31" s="1">
        <f>((D31*C31)+(D43*C43))/(C31+C43)</f>
        <v>50.697728329245194</v>
      </c>
      <c r="G31" s="1">
        <f>((F31*(C31+C43))+(F32*(C32+C44))+(F33*(C33+C45))+(F34*(C34+C46))+(F35*(C35+C47))+(F36*(C36+C48)))/(SUM(C31:C36,C43:C48))</f>
        <v>35.87312438800519</v>
      </c>
    </row>
    <row r="32" spans="2:6" ht="12.75">
      <c r="B32" t="s">
        <v>75</v>
      </c>
      <c r="C32">
        <v>121396.679592068</v>
      </c>
      <c r="D32">
        <v>35.6425</v>
      </c>
      <c r="F32" s="1">
        <f>((D32*C32)+(D44*C44))/(C32+C44)</f>
        <v>36.80557609456779</v>
      </c>
    </row>
    <row r="33" spans="2:6" ht="12.75">
      <c r="B33" t="s">
        <v>76</v>
      </c>
      <c r="C33">
        <v>73715.4488688087</v>
      </c>
      <c r="D33">
        <v>22.68</v>
      </c>
      <c r="F33" s="1">
        <f>((D33*C33)+(D45*C45))/(C33+C45)</f>
        <v>23.673433394088978</v>
      </c>
    </row>
    <row r="34" spans="2:6" ht="12.75">
      <c r="B34" t="s">
        <v>77</v>
      </c>
      <c r="C34">
        <v>27758.140441364718</v>
      </c>
      <c r="D34">
        <v>13.52</v>
      </c>
      <c r="F34" s="1">
        <f>((D34*C34)+(D46*C46))/(C34+C46)</f>
        <v>14.174577708132244</v>
      </c>
    </row>
    <row r="35" spans="2:6" ht="12.75">
      <c r="B35" t="s">
        <v>78</v>
      </c>
      <c r="C35">
        <v>13512.538465751873</v>
      </c>
      <c r="D35">
        <v>7.94</v>
      </c>
      <c r="F35" s="1">
        <f>((D35*C35)+(D47*C47))/(C35+C47)</f>
        <v>8.30273919593572</v>
      </c>
    </row>
    <row r="36" spans="2:6" ht="12.75">
      <c r="B36" t="s">
        <v>79</v>
      </c>
      <c r="C36">
        <v>3056.6375967662657</v>
      </c>
      <c r="D36">
        <v>5.67</v>
      </c>
      <c r="F36" s="1">
        <f>((D36*C36)+(D48*C48))/(C36+C48)</f>
        <v>5.936916411875437</v>
      </c>
    </row>
    <row r="39" spans="2:5" ht="12.75">
      <c r="B39" t="s">
        <v>112</v>
      </c>
      <c r="C39" t="s">
        <v>107</v>
      </c>
      <c r="D39" t="s">
        <v>108</v>
      </c>
      <c r="E39" t="s">
        <v>108</v>
      </c>
    </row>
    <row r="40" spans="2:5" ht="12.75">
      <c r="B40" t="s">
        <v>110</v>
      </c>
      <c r="C40" t="s">
        <v>8</v>
      </c>
      <c r="D40" t="s">
        <v>8</v>
      </c>
      <c r="E40" t="s">
        <v>111</v>
      </c>
    </row>
    <row r="41" spans="2:5" ht="12.75">
      <c r="B41" t="s">
        <v>27</v>
      </c>
      <c r="C41">
        <v>40116.02382136302</v>
      </c>
      <c r="D41">
        <v>70.67</v>
      </c>
      <c r="E41" s="1">
        <f>D41</f>
        <v>70.67</v>
      </c>
    </row>
    <row r="42" spans="2:5" ht="12.75">
      <c r="B42" t="s">
        <v>28</v>
      </c>
      <c r="C42">
        <v>87294.65290480577</v>
      </c>
      <c r="D42">
        <v>63.94</v>
      </c>
      <c r="E42" s="1">
        <f>D42</f>
        <v>63.94</v>
      </c>
    </row>
    <row r="43" spans="2:5" ht="12.75">
      <c r="B43" t="s">
        <v>74</v>
      </c>
      <c r="C43">
        <v>125565.85400380516</v>
      </c>
      <c r="D43">
        <v>52.0125</v>
      </c>
      <c r="E43" s="1">
        <f>((D43*C43)+(D44*C44)+(D45*C45)+(D46*C46)+(D47*C47)+(D48*C48))/(SUM(C43:C48))</f>
        <v>36.694740182264034</v>
      </c>
    </row>
    <row r="44" spans="2:4" ht="12.75">
      <c r="B44" t="s">
        <v>75</v>
      </c>
      <c r="C44">
        <v>117229.13781155061</v>
      </c>
      <c r="D44">
        <v>38.01</v>
      </c>
    </row>
    <row r="45" spans="2:4" ht="12.75">
      <c r="B45" t="s">
        <v>76</v>
      </c>
      <c r="C45">
        <v>70818.83134792406</v>
      </c>
      <c r="D45">
        <v>24.7075</v>
      </c>
    </row>
    <row r="46" spans="2:4" ht="12.75">
      <c r="B46" t="s">
        <v>77</v>
      </c>
      <c r="C46">
        <v>28007.248409583288</v>
      </c>
      <c r="D46">
        <v>14.823333333333332</v>
      </c>
    </row>
    <row r="47" spans="2:4" ht="12.75">
      <c r="B47" t="s">
        <v>78</v>
      </c>
      <c r="C47">
        <v>16127.292891060917</v>
      </c>
      <c r="D47">
        <v>8.606666666666667</v>
      </c>
    </row>
    <row r="48" spans="2:4" ht="12.75">
      <c r="B48" t="s">
        <v>79</v>
      </c>
      <c r="C48">
        <v>5329.550670503925</v>
      </c>
      <c r="D48">
        <v>6.09</v>
      </c>
    </row>
    <row r="51" ht="12.75">
      <c r="A51" t="s">
        <v>114</v>
      </c>
    </row>
    <row r="52" spans="1:7" ht="12.75">
      <c r="A52" t="s">
        <v>51</v>
      </c>
      <c r="B52" t="s">
        <v>106</v>
      </c>
      <c r="C52" t="s">
        <v>107</v>
      </c>
      <c r="D52" t="s">
        <v>108</v>
      </c>
      <c r="E52" t="s">
        <v>108</v>
      </c>
      <c r="F52" t="s">
        <v>109</v>
      </c>
      <c r="G52" t="s">
        <v>109</v>
      </c>
    </row>
    <row r="53" spans="2:7" ht="12.75">
      <c r="B53" t="s">
        <v>110</v>
      </c>
      <c r="C53" t="s">
        <v>51</v>
      </c>
      <c r="D53" t="s">
        <v>51</v>
      </c>
      <c r="E53" t="s">
        <v>111</v>
      </c>
      <c r="F53" t="s">
        <v>111</v>
      </c>
      <c r="G53" t="s">
        <v>111</v>
      </c>
    </row>
    <row r="54" spans="2:7" ht="12.75">
      <c r="B54" t="s">
        <v>27</v>
      </c>
      <c r="C54">
        <v>31609.26143451611</v>
      </c>
      <c r="D54">
        <v>62.843333333333334</v>
      </c>
      <c r="E54" s="1">
        <f>D54</f>
        <v>62.843333333333334</v>
      </c>
      <c r="F54" s="1">
        <f>((D54*C54)+(D66*C66))/(C54+C66)</f>
        <v>67.26788407934288</v>
      </c>
      <c r="G54" s="1">
        <f>F54</f>
        <v>67.26788407934288</v>
      </c>
    </row>
    <row r="55" spans="2:7" ht="12.75">
      <c r="B55" t="s">
        <v>28</v>
      </c>
      <c r="C55">
        <v>79600.38794606019</v>
      </c>
      <c r="D55">
        <v>56.053333333333335</v>
      </c>
      <c r="E55" s="1">
        <f>D55</f>
        <v>56.053333333333335</v>
      </c>
      <c r="F55" s="1">
        <f>((D55*C55)+(D67*C67))/(C55+C67)</f>
        <v>60.39877599778313</v>
      </c>
      <c r="G55" s="1">
        <f>F55</f>
        <v>60.39877599778313</v>
      </c>
    </row>
    <row r="56" spans="2:7" ht="12.75">
      <c r="B56" t="s">
        <v>74</v>
      </c>
      <c r="C56">
        <v>124388.79935536168</v>
      </c>
      <c r="D56">
        <v>44.7225</v>
      </c>
      <c r="E56" s="1">
        <f>((D56*C56)+(D57*C57)+(D58*C58)+(D59*C59)+(D60*C60)+(D61*C61))/(SUM(C56:C61))</f>
        <v>30.323795194683132</v>
      </c>
      <c r="F56" s="1">
        <f>((D56*C56)+(D68*C68))/(C56+C68)</f>
        <v>48.74479945415317</v>
      </c>
      <c r="G56" s="1">
        <f>((F56*(C56+C68))+(F57*(C57+C69))+(F58*(C58+C70))+(F59*(C59+C71))+(F60*(C60+C72))+(F61*(C61+C73)))/(SUM(C56:C61,C68:C73))</f>
        <v>32.13095606374863</v>
      </c>
    </row>
    <row r="57" spans="2:6" ht="12.75">
      <c r="B57" t="s">
        <v>75</v>
      </c>
      <c r="C57">
        <v>107901.11357870826</v>
      </c>
      <c r="D57">
        <v>32.0525</v>
      </c>
      <c r="F57" s="1">
        <f>((D57*C57)+(D69*C69))/(C57+C69)</f>
        <v>35.40013842444723</v>
      </c>
    </row>
    <row r="58" spans="2:6" ht="12.75">
      <c r="B58" t="s">
        <v>76</v>
      </c>
      <c r="C58">
        <v>77747.37279263874</v>
      </c>
      <c r="D58">
        <v>20.4075</v>
      </c>
      <c r="F58" s="1">
        <f>((D58*C58)+(D70*C70))/(C58+C70)</f>
        <v>22.970486809378613</v>
      </c>
    </row>
    <row r="59" spans="2:6" ht="12.75">
      <c r="B59" t="s">
        <v>77</v>
      </c>
      <c r="C59">
        <v>36055.092062386815</v>
      </c>
      <c r="D59">
        <v>12.243333333333334</v>
      </c>
      <c r="F59" s="1">
        <f>((D59*C59)+(D71*C71))/(C59+C71)</f>
        <v>13.97461481930989</v>
      </c>
    </row>
    <row r="60" spans="2:6" ht="12.75">
      <c r="B60" t="s">
        <v>78</v>
      </c>
      <c r="C60">
        <v>19611.830137816072</v>
      </c>
      <c r="D60">
        <v>7.453333333333333</v>
      </c>
      <c r="F60" s="1">
        <f>((D60*C60)+(D72*C72))/(C60+C72)</f>
        <v>8.397431737139268</v>
      </c>
    </row>
    <row r="61" spans="2:6" ht="12.75">
      <c r="B61" t="s">
        <v>79</v>
      </c>
      <c r="C61">
        <v>4289.303775466499</v>
      </c>
      <c r="D61">
        <v>5.57</v>
      </c>
      <c r="F61" s="1">
        <f>((D61*C61)+(D73*C73))/(C61+C73)</f>
        <v>6.13334060702218</v>
      </c>
    </row>
    <row r="64" spans="2:5" ht="12.75">
      <c r="B64" t="s">
        <v>112</v>
      </c>
      <c r="C64" t="s">
        <v>107</v>
      </c>
      <c r="D64" t="s">
        <v>108</v>
      </c>
      <c r="E64" t="s">
        <v>108</v>
      </c>
    </row>
    <row r="65" spans="2:5" ht="12.75">
      <c r="B65" t="s">
        <v>110</v>
      </c>
      <c r="C65" t="s">
        <v>51</v>
      </c>
      <c r="D65" t="s">
        <v>51</v>
      </c>
      <c r="E65" t="s">
        <v>111</v>
      </c>
    </row>
    <row r="66" spans="2:5" ht="12.75">
      <c r="B66" t="s">
        <v>27</v>
      </c>
      <c r="C66">
        <v>30171.138458802565</v>
      </c>
      <c r="D66">
        <v>71.90333333333332</v>
      </c>
      <c r="E66" s="1">
        <f>D66</f>
        <v>71.90333333333332</v>
      </c>
    </row>
    <row r="67" spans="2:5" ht="12.75">
      <c r="B67" t="s">
        <v>28</v>
      </c>
      <c r="C67">
        <v>76336.75177354651</v>
      </c>
      <c r="D67">
        <v>64.93</v>
      </c>
      <c r="E67" s="1">
        <f>D67</f>
        <v>64.93</v>
      </c>
    </row>
    <row r="68" spans="2:5" ht="12.75">
      <c r="B68" t="s">
        <v>74</v>
      </c>
      <c r="C68">
        <v>120919.57699839801</v>
      </c>
      <c r="D68">
        <v>52.8825</v>
      </c>
      <c r="E68" s="1">
        <f>((D68*C68)+(D69*C69)+(D70*C70)+(D71*C71)+(D72*C72)+(D73*C73))/(SUM(C68:C73))</f>
        <v>33.7527259372555</v>
      </c>
    </row>
    <row r="69" spans="2:4" ht="12.75">
      <c r="B69" t="s">
        <v>75</v>
      </c>
      <c r="C69">
        <v>108722.03570938265</v>
      </c>
      <c r="D69">
        <v>38.7225</v>
      </c>
    </row>
    <row r="70" spans="2:4" ht="12.75">
      <c r="B70" t="s">
        <v>76</v>
      </c>
      <c r="C70">
        <v>85908.32409881345</v>
      </c>
      <c r="D70">
        <v>25.29</v>
      </c>
    </row>
    <row r="71" spans="2:4" ht="12.75">
      <c r="B71" t="s">
        <v>77</v>
      </c>
      <c r="C71">
        <v>48562.49651896348</v>
      </c>
      <c r="D71">
        <v>15.26</v>
      </c>
    </row>
    <row r="72" spans="2:4" ht="12.75">
      <c r="B72" t="s">
        <v>78</v>
      </c>
      <c r="C72">
        <v>35889.591475232155</v>
      </c>
      <c r="D72">
        <v>8.913333333333334</v>
      </c>
    </row>
    <row r="73" spans="2:4" ht="12.75">
      <c r="B73" t="s">
        <v>79</v>
      </c>
      <c r="C73">
        <v>12286.923883906926</v>
      </c>
      <c r="D73">
        <v>6.33</v>
      </c>
    </row>
    <row r="76" ht="12.75">
      <c r="A76" t="s">
        <v>115</v>
      </c>
    </row>
    <row r="77" spans="1:7" ht="12.75">
      <c r="A77" t="s">
        <v>9</v>
      </c>
      <c r="B77" t="s">
        <v>106</v>
      </c>
      <c r="C77" t="s">
        <v>107</v>
      </c>
      <c r="D77" t="s">
        <v>108</v>
      </c>
      <c r="E77" t="s">
        <v>108</v>
      </c>
      <c r="F77" t="s">
        <v>109</v>
      </c>
      <c r="G77" t="s">
        <v>109</v>
      </c>
    </row>
    <row r="78" spans="2:7" ht="12.75">
      <c r="B78" t="s">
        <v>110</v>
      </c>
      <c r="C78" t="s">
        <v>9</v>
      </c>
      <c r="D78" t="s">
        <v>9</v>
      </c>
      <c r="E78" t="s">
        <v>111</v>
      </c>
      <c r="F78" t="s">
        <v>111</v>
      </c>
      <c r="G78" t="s">
        <v>111</v>
      </c>
    </row>
    <row r="79" spans="2:7" ht="12.75">
      <c r="B79" t="s">
        <v>27</v>
      </c>
      <c r="C79">
        <v>54094.798573822656</v>
      </c>
      <c r="D79">
        <v>67.08666666666667</v>
      </c>
      <c r="E79" s="1">
        <f>D79</f>
        <v>67.08666666666667</v>
      </c>
      <c r="F79" s="1">
        <f>((D79*C79)+(D91*C91))/(C79+C91)</f>
        <v>70.15859446755853</v>
      </c>
      <c r="G79" s="1">
        <f>F79</f>
        <v>70.15859446755853</v>
      </c>
    </row>
    <row r="80" spans="2:7" ht="12.75">
      <c r="B80" t="s">
        <v>28</v>
      </c>
      <c r="C80">
        <v>106130.58821220337</v>
      </c>
      <c r="D80">
        <v>60.38</v>
      </c>
      <c r="E80" s="1">
        <f>D80</f>
        <v>60.38</v>
      </c>
      <c r="F80" s="1">
        <f>((D80*C80)+(D92*C92))/(C80+C92)</f>
        <v>63.336155350580114</v>
      </c>
      <c r="G80" s="1">
        <f>F80</f>
        <v>63.336155350580114</v>
      </c>
    </row>
    <row r="81" spans="2:7" ht="12.75">
      <c r="B81" t="s">
        <v>74</v>
      </c>
      <c r="C81">
        <v>140107.7865702842</v>
      </c>
      <c r="D81">
        <v>48.7325</v>
      </c>
      <c r="E81" s="1">
        <f>((D81*C81)+(D82*C82)+(D83*C83)+(D84*C84)+(D85*C85)+(D86*C86))/(SUM(C81:C86))</f>
        <v>35.655549435631045</v>
      </c>
      <c r="F81" s="1">
        <f>((D81*C81)+(D93*C93))/(C81+C93)</f>
        <v>51.53047275136637</v>
      </c>
      <c r="G81" s="1">
        <f>((F81*(C81+C93))+(F82*(C82+C94))+(F83*(C83+C95))+(F84*(C84+C96))+(F85*(C85+C97))+(F86*(C86+C98)))/(SUM(C81:C86,C93:C98))</f>
        <v>37.80900613080272</v>
      </c>
    </row>
    <row r="82" spans="2:6" ht="12.75">
      <c r="B82" t="s">
        <v>75</v>
      </c>
      <c r="C82">
        <v>99720.94296704828</v>
      </c>
      <c r="D82">
        <v>34.425</v>
      </c>
      <c r="F82" s="1">
        <f>((D82*C82)+(D94*C94))/(C82+C94)</f>
        <v>37.3226779099451</v>
      </c>
    </row>
    <row r="83" spans="2:6" ht="12.75">
      <c r="B83" t="s">
        <v>76</v>
      </c>
      <c r="C83">
        <v>58500.534812078855</v>
      </c>
      <c r="D83">
        <v>21.7325</v>
      </c>
      <c r="F83" s="1">
        <f>((D83*C83)+(D95*C95))/(C83+C95)</f>
        <v>24.204894095318597</v>
      </c>
    </row>
    <row r="84" spans="2:6" ht="12.75">
      <c r="B84" t="s">
        <v>77</v>
      </c>
      <c r="C84">
        <v>21213.542136473952</v>
      </c>
      <c r="D84">
        <v>13.513333333333334</v>
      </c>
      <c r="F84" s="1">
        <f>((D84*C84)+(D96*C96))/(C84+C96)</f>
        <v>14.986747292169321</v>
      </c>
    </row>
    <row r="85" spans="2:6" ht="12.75">
      <c r="B85" t="s">
        <v>78</v>
      </c>
      <c r="C85">
        <v>11353.934744297749</v>
      </c>
      <c r="D85">
        <v>8.093333333333332</v>
      </c>
      <c r="F85" s="1">
        <f>((D85*C85)+(D97*C97))/(C85+C97)</f>
        <v>8.95701034596272</v>
      </c>
    </row>
    <row r="86" spans="2:6" ht="12.75">
      <c r="B86" t="s">
        <v>79</v>
      </c>
      <c r="C86">
        <v>3775.716878350095</v>
      </c>
      <c r="D86">
        <v>5.91</v>
      </c>
      <c r="F86" s="1">
        <f>((D86*C86)+(D98*C98))/(C86+C98)</f>
        <v>6.490281944651018</v>
      </c>
    </row>
    <row r="89" spans="2:5" ht="12.75">
      <c r="B89" t="s">
        <v>112</v>
      </c>
      <c r="C89" t="s">
        <v>107</v>
      </c>
      <c r="D89" t="s">
        <v>108</v>
      </c>
      <c r="E89" t="s">
        <v>108</v>
      </c>
    </row>
    <row r="90" spans="2:5" ht="12.75">
      <c r="B90" t="s">
        <v>110</v>
      </c>
      <c r="C90" t="s">
        <v>9</v>
      </c>
      <c r="D90" t="s">
        <v>9</v>
      </c>
      <c r="E90" t="s">
        <v>111</v>
      </c>
    </row>
    <row r="91" spans="2:5" ht="12.75">
      <c r="B91" t="s">
        <v>27</v>
      </c>
      <c r="C91">
        <v>52015.30472578045</v>
      </c>
      <c r="D91">
        <v>73.35333333333334</v>
      </c>
      <c r="E91" s="1">
        <f>D91</f>
        <v>73.35333333333334</v>
      </c>
    </row>
    <row r="92" spans="2:5" ht="12.75">
      <c r="B92" t="s">
        <v>28</v>
      </c>
      <c r="C92">
        <v>102400.26571292503</v>
      </c>
      <c r="D92">
        <v>66.4</v>
      </c>
      <c r="E92" s="1">
        <f>D92</f>
        <v>66.4</v>
      </c>
    </row>
    <row r="93" spans="2:5" ht="12.75">
      <c r="B93" t="s">
        <v>74</v>
      </c>
      <c r="C93">
        <v>139283.70004881744</v>
      </c>
      <c r="D93">
        <v>54.345</v>
      </c>
      <c r="E93" s="1">
        <f>((D93*C93)+(D94*C94)+(D95*C95)+(D96*C96)+(D97*C97)+(D98*C98))/(SUM(C93:C98))</f>
        <v>39.86412508064301</v>
      </c>
    </row>
    <row r="94" spans="2:4" ht="12.75">
      <c r="B94" t="s">
        <v>75</v>
      </c>
      <c r="C94">
        <v>104136.10826804151</v>
      </c>
      <c r="D94">
        <v>40.0975</v>
      </c>
    </row>
    <row r="95" spans="2:4" ht="12.75">
      <c r="B95" t="s">
        <v>76</v>
      </c>
      <c r="C95">
        <v>62610.27970590434</v>
      </c>
      <c r="D95">
        <v>26.515</v>
      </c>
    </row>
    <row r="96" spans="2:4" ht="12.75">
      <c r="B96" t="s">
        <v>77</v>
      </c>
      <c r="C96">
        <v>24231.226941928882</v>
      </c>
      <c r="D96">
        <v>16.276666666666667</v>
      </c>
    </row>
    <row r="97" spans="2:4" ht="12.75">
      <c r="B97" t="s">
        <v>78</v>
      </c>
      <c r="C97">
        <v>14499.185484834812</v>
      </c>
      <c r="D97">
        <v>9.633333333333333</v>
      </c>
    </row>
    <row r="98" spans="2:4" ht="12.75">
      <c r="B98" t="s">
        <v>79</v>
      </c>
      <c r="C98">
        <v>5926.084217208627</v>
      </c>
      <c r="D98">
        <v>6.86</v>
      </c>
    </row>
    <row r="101" ht="12.75">
      <c r="A101" t="s">
        <v>116</v>
      </c>
    </row>
    <row r="102" spans="1:7" ht="12.75">
      <c r="A102" t="s">
        <v>83</v>
      </c>
      <c r="B102" t="s">
        <v>106</v>
      </c>
      <c r="C102" t="s">
        <v>107</v>
      </c>
      <c r="D102" t="s">
        <v>108</v>
      </c>
      <c r="E102" t="s">
        <v>108</v>
      </c>
      <c r="F102" t="s">
        <v>109</v>
      </c>
      <c r="G102" t="s">
        <v>109</v>
      </c>
    </row>
    <row r="103" spans="2:7" ht="12.75">
      <c r="B103" t="s">
        <v>110</v>
      </c>
      <c r="C103" t="s">
        <v>83</v>
      </c>
      <c r="D103" t="s">
        <v>83</v>
      </c>
      <c r="E103" t="s">
        <v>111</v>
      </c>
      <c r="F103" t="s">
        <v>111</v>
      </c>
      <c r="G103" t="s">
        <v>111</v>
      </c>
    </row>
    <row r="104" spans="2:7" ht="12.75">
      <c r="B104" t="s">
        <v>27</v>
      </c>
      <c r="C104">
        <v>61491.97006094075</v>
      </c>
      <c r="D104">
        <v>67.27666666666667</v>
      </c>
      <c r="E104" s="1">
        <f>D104</f>
        <v>67.27666666666667</v>
      </c>
      <c r="F104" s="1">
        <f>((D104*C104)+(D116*C116))/(C104+C116)</f>
        <v>68.46021185347429</v>
      </c>
      <c r="G104" s="1">
        <f>F104</f>
        <v>68.46021185347429</v>
      </c>
    </row>
    <row r="105" spans="2:7" ht="12.75">
      <c r="B105" t="s">
        <v>28</v>
      </c>
      <c r="C105">
        <v>124605.57379284523</v>
      </c>
      <c r="D105">
        <v>61.22666666666667</v>
      </c>
      <c r="E105" s="1">
        <f>D105</f>
        <v>61.22666666666667</v>
      </c>
      <c r="F105" s="1">
        <f>((D105*C105)+(D117*C117))/(C105+C117)</f>
        <v>62.24653431708676</v>
      </c>
      <c r="G105" s="1">
        <f>F105</f>
        <v>62.24653431708676</v>
      </c>
    </row>
    <row r="106" spans="2:7" ht="12.75">
      <c r="B106" t="s">
        <v>74</v>
      </c>
      <c r="C106">
        <v>151390.02625277292</v>
      </c>
      <c r="D106">
        <v>49.5425</v>
      </c>
      <c r="E106" s="1">
        <f>((D106*C106)+(D107*C107)+(D108*C108)+(D109*C109)+(D110*C110)+(D111*C111))/(SUM(C106:C111))</f>
        <v>38.07540412605642</v>
      </c>
      <c r="F106" s="1">
        <f>((D106*C106)+(D118*C118))/(C106+C118)</f>
        <v>50.49559247706136</v>
      </c>
      <c r="G106" s="1">
        <f>((F106*(C106+C118))+(F107*(C107+C119))+(F108*(C108+C120))+(F109*(C109+C121))+(F110*(C110+C122))+(F111*(C111+C123)))/(SUM(C106:C111,C118:C123))</f>
        <v>38.75512877875071</v>
      </c>
    </row>
    <row r="107" spans="2:6" ht="12.75">
      <c r="B107" t="s">
        <v>75</v>
      </c>
      <c r="C107">
        <v>92761.08683518019</v>
      </c>
      <c r="D107">
        <v>35.6875</v>
      </c>
      <c r="F107" s="1">
        <f>((D107*C107)+(D119*C119))/(C107+C119)</f>
        <v>36.62042472365861</v>
      </c>
    </row>
    <row r="108" spans="2:6" ht="12.75">
      <c r="B108" t="s">
        <v>76</v>
      </c>
      <c r="C108">
        <v>48866.205690612245</v>
      </c>
      <c r="D108">
        <v>22.6875</v>
      </c>
      <c r="F108" s="1">
        <f>((D108*C108)+(D120*C120))/(C108+C120)</f>
        <v>23.553962806018916</v>
      </c>
    </row>
    <row r="109" spans="2:6" ht="12.75">
      <c r="B109" t="s">
        <v>77</v>
      </c>
      <c r="C109">
        <v>17332.063133620795</v>
      </c>
      <c r="D109">
        <v>13.513333333333334</v>
      </c>
      <c r="F109" s="1">
        <f>((D109*C109)+(D121*C121))/(C109+C121)</f>
        <v>14.098857868081428</v>
      </c>
    </row>
    <row r="110" spans="2:6" ht="12.75">
      <c r="B110" t="s">
        <v>78</v>
      </c>
      <c r="C110">
        <v>9030.272129772122</v>
      </c>
      <c r="D110">
        <v>7.93</v>
      </c>
      <c r="F110" s="1">
        <f>((D110*C110)+(D122*C122))/(C110+C122)</f>
        <v>8.23765716270244</v>
      </c>
    </row>
    <row r="111" spans="2:6" ht="12.75">
      <c r="B111" t="s">
        <v>79</v>
      </c>
      <c r="C111">
        <v>1993.4445547374</v>
      </c>
      <c r="D111">
        <v>5.66</v>
      </c>
      <c r="F111" s="1">
        <f>((D111*C111)+(D123*C123))/(C111+C123)</f>
        <v>5.868137401937746</v>
      </c>
    </row>
    <row r="114" spans="2:5" ht="12.75">
      <c r="B114" t="s">
        <v>112</v>
      </c>
      <c r="C114" t="s">
        <v>107</v>
      </c>
      <c r="D114" t="s">
        <v>108</v>
      </c>
      <c r="E114" t="s">
        <v>108</v>
      </c>
    </row>
    <row r="115" spans="2:5" ht="12.75">
      <c r="B115" t="s">
        <v>110</v>
      </c>
      <c r="C115" t="s">
        <v>83</v>
      </c>
      <c r="D115" t="s">
        <v>83</v>
      </c>
      <c r="E115" t="s">
        <v>111</v>
      </c>
    </row>
    <row r="116" spans="2:5" ht="12.75">
      <c r="B116" t="s">
        <v>27</v>
      </c>
      <c r="C116">
        <v>58860.642877066</v>
      </c>
      <c r="D116">
        <v>69.69666666666667</v>
      </c>
      <c r="E116" s="1">
        <f>D116</f>
        <v>69.69666666666667</v>
      </c>
    </row>
    <row r="117" spans="2:5" ht="12.75">
      <c r="B117" t="s">
        <v>28</v>
      </c>
      <c r="C117">
        <v>119123.83854690708</v>
      </c>
      <c r="D117">
        <v>63.31333333333333</v>
      </c>
      <c r="E117" s="1">
        <f>D117</f>
        <v>63.31333333333333</v>
      </c>
    </row>
    <row r="118" spans="2:5" ht="12.75">
      <c r="B118" t="s">
        <v>74</v>
      </c>
      <c r="C118">
        <v>145465.87437523153</v>
      </c>
      <c r="D118">
        <v>51.4875</v>
      </c>
      <c r="E118" s="1">
        <f>((D118*C118)+(D119*C119)+(D120*C120)+(D121*C121)+(D122*C122)+(D123*C123))/(SUM(C118:C123))</f>
        <v>39.449609072054656</v>
      </c>
    </row>
    <row r="119" spans="2:4" ht="12.75">
      <c r="B119" t="s">
        <v>75</v>
      </c>
      <c r="C119">
        <v>89254.65965729931</v>
      </c>
      <c r="D119">
        <v>37.59</v>
      </c>
    </row>
    <row r="120" spans="2:4" ht="12.75">
      <c r="B120" t="s">
        <v>76</v>
      </c>
      <c r="C120">
        <v>48890.22087786959</v>
      </c>
      <c r="D120">
        <v>24.42</v>
      </c>
    </row>
    <row r="121" spans="2:4" ht="12.75">
      <c r="B121" t="s">
        <v>77</v>
      </c>
      <c r="C121">
        <v>18413.305052928456</v>
      </c>
      <c r="D121">
        <v>14.65</v>
      </c>
    </row>
    <row r="122" spans="2:4" ht="12.75">
      <c r="B122" t="s">
        <v>78</v>
      </c>
      <c r="C122">
        <v>9957.466904900964</v>
      </c>
      <c r="D122">
        <v>8.516666666666667</v>
      </c>
    </row>
    <row r="123" spans="2:4" ht="12.75">
      <c r="B123" t="s">
        <v>79</v>
      </c>
      <c r="C123">
        <v>2563.3492573152007</v>
      </c>
      <c r="D123">
        <v>6.03</v>
      </c>
    </row>
    <row r="126" ht="12.75">
      <c r="A126" t="s">
        <v>117</v>
      </c>
    </row>
    <row r="127" spans="1:7" ht="12.75">
      <c r="A127" t="s">
        <v>84</v>
      </c>
      <c r="B127" t="s">
        <v>106</v>
      </c>
      <c r="C127" t="s">
        <v>107</v>
      </c>
      <c r="D127" t="s">
        <v>108</v>
      </c>
      <c r="E127" t="s">
        <v>108</v>
      </c>
      <c r="F127" t="s">
        <v>109</v>
      </c>
      <c r="G127" t="s">
        <v>109</v>
      </c>
    </row>
    <row r="128" spans="2:7" ht="12.75">
      <c r="B128" t="s">
        <v>110</v>
      </c>
      <c r="C128" t="s">
        <v>84</v>
      </c>
      <c r="D128" t="s">
        <v>84</v>
      </c>
      <c r="E128" t="s">
        <v>111</v>
      </c>
      <c r="F128" t="s">
        <v>111</v>
      </c>
      <c r="G128" t="s">
        <v>111</v>
      </c>
    </row>
    <row r="129" spans="2:7" ht="12.75">
      <c r="B129" t="s">
        <v>27</v>
      </c>
      <c r="C129">
        <v>63650.57841812037</v>
      </c>
      <c r="D129">
        <v>63.343333333333334</v>
      </c>
      <c r="E129" s="1">
        <f>D129</f>
        <v>63.343333333333334</v>
      </c>
      <c r="F129" s="1">
        <f>((D129*C129)+(D141*C141))/(C129+C141)</f>
        <v>63.8466580985906</v>
      </c>
      <c r="G129" s="1">
        <f>F129</f>
        <v>63.8466580985906</v>
      </c>
    </row>
    <row r="130" spans="2:7" ht="12.75">
      <c r="B130" t="s">
        <v>28</v>
      </c>
      <c r="C130">
        <v>118285.46251045544</v>
      </c>
      <c r="D130">
        <v>58.38333333333333</v>
      </c>
      <c r="E130" s="1">
        <f>D130</f>
        <v>58.38333333333333</v>
      </c>
      <c r="F130" s="1">
        <f>((D130*C130)+(D142*C142))/(C130+C142)</f>
        <v>58.711973776496336</v>
      </c>
      <c r="G130" s="1">
        <f>F130</f>
        <v>58.711973776496336</v>
      </c>
    </row>
    <row r="131" spans="2:7" ht="12.75">
      <c r="B131" t="s">
        <v>74</v>
      </c>
      <c r="C131">
        <v>140365.5615104161</v>
      </c>
      <c r="D131">
        <v>46.9575</v>
      </c>
      <c r="E131" s="1">
        <f>((D131*C131)+(D132*C132)+(D133*C133)+(D134*C134)+(D135*C135)+(D136*C136))/(SUM(C131:C136))</f>
        <v>34.62145857933762</v>
      </c>
      <c r="F131" s="1">
        <f>((D131*C131)+(D143*C143))/(C131+C143)</f>
        <v>47.31527443601191</v>
      </c>
      <c r="G131" s="1">
        <f>((F131*(C131+C143))+(F132*(C132+C144))+(F133*(C133+C145))+(F134*(C134+C146))+(F135*(C135+C147))+(F136*(C136+C148)))/(SUM(C131:C136,C143:C148))</f>
        <v>34.80691400618806</v>
      </c>
    </row>
    <row r="132" spans="2:6" ht="12.75">
      <c r="B132" t="s">
        <v>75</v>
      </c>
      <c r="C132">
        <v>100262.0990899693</v>
      </c>
      <c r="D132">
        <v>33.5525</v>
      </c>
      <c r="F132" s="1">
        <f>((D132*C132)+(D144*C144))/(C132+C144)</f>
        <v>34.0839763266175</v>
      </c>
    </row>
    <row r="133" spans="2:6" ht="12.75">
      <c r="B133" t="s">
        <v>76</v>
      </c>
      <c r="C133">
        <v>58154.8860491707</v>
      </c>
      <c r="D133">
        <v>21.0575</v>
      </c>
      <c r="F133" s="1">
        <f>((D133*C133)+(D145*C145))/(C133+C145)</f>
        <v>21.597762913840388</v>
      </c>
    </row>
    <row r="134" spans="2:6" ht="12.75">
      <c r="B134" t="s">
        <v>77</v>
      </c>
      <c r="C134">
        <v>21447.90345945993</v>
      </c>
      <c r="D134">
        <v>12.34</v>
      </c>
      <c r="F134" s="1">
        <f>((D134*C134)+(D146*C146))/(C134+C146)</f>
        <v>12.647913926587952</v>
      </c>
    </row>
    <row r="135" spans="2:6" ht="12.75">
      <c r="B135" t="s">
        <v>78</v>
      </c>
      <c r="C135">
        <v>10174.844494825602</v>
      </c>
      <c r="D135">
        <v>7.04</v>
      </c>
      <c r="F135" s="1">
        <f>((D135*C135)+(D147*C147))/(C135+C147)</f>
        <v>7.218472523300471</v>
      </c>
    </row>
    <row r="136" spans="2:6" ht="12.75">
      <c r="B136" t="s">
        <v>79</v>
      </c>
      <c r="C136">
        <v>2589.495218497878</v>
      </c>
      <c r="D136">
        <v>4.87</v>
      </c>
      <c r="F136" s="1">
        <f>((D136*C136)+(D148*C148))/(C136+C148)</f>
        <v>5.049237814215624</v>
      </c>
    </row>
    <row r="139" spans="2:5" ht="12.75">
      <c r="B139" t="s">
        <v>112</v>
      </c>
      <c r="C139" t="s">
        <v>107</v>
      </c>
      <c r="D139" t="s">
        <v>108</v>
      </c>
      <c r="E139" t="s">
        <v>108</v>
      </c>
    </row>
    <row r="140" spans="2:5" ht="12.75">
      <c r="B140" t="s">
        <v>110</v>
      </c>
      <c r="C140" t="s">
        <v>84</v>
      </c>
      <c r="D140" t="s">
        <v>84</v>
      </c>
      <c r="E140" t="s">
        <v>111</v>
      </c>
    </row>
    <row r="141" spans="2:5" ht="12.75">
      <c r="B141" t="s">
        <v>27</v>
      </c>
      <c r="C141">
        <v>60068.245821545046</v>
      </c>
      <c r="D141">
        <v>64.38</v>
      </c>
      <c r="E141" s="1">
        <f>D141</f>
        <v>64.38</v>
      </c>
    </row>
    <row r="142" spans="2:5" ht="12.75">
      <c r="B142" t="s">
        <v>28</v>
      </c>
      <c r="C142">
        <v>110637.05558237786</v>
      </c>
      <c r="D142">
        <v>59.06333333333333</v>
      </c>
      <c r="E142" s="1">
        <f>D142</f>
        <v>59.06333333333333</v>
      </c>
    </row>
    <row r="143" spans="2:5" ht="12.75">
      <c r="B143" t="s">
        <v>74</v>
      </c>
      <c r="C143">
        <v>129689.80944250988</v>
      </c>
      <c r="D143">
        <v>47.7025</v>
      </c>
      <c r="E143" s="1">
        <f>((D143*C143)+(D144*C144)+(D145*C145)+(D146*C146)+(D147*C147)+(D148*C148))/(SUM(C143:C148))</f>
        <v>35.00336053583785</v>
      </c>
    </row>
    <row r="144" spans="2:4" ht="12.75">
      <c r="B144" t="s">
        <v>75</v>
      </c>
      <c r="C144">
        <v>92108.47295451327</v>
      </c>
      <c r="D144">
        <v>34.6625</v>
      </c>
    </row>
    <row r="145" spans="2:4" ht="12.75">
      <c r="B145" t="s">
        <v>76</v>
      </c>
      <c r="C145">
        <v>55634.611150896846</v>
      </c>
      <c r="D145">
        <v>22.1625</v>
      </c>
    </row>
    <row r="146" spans="2:4" ht="12.75">
      <c r="B146" t="s">
        <v>77</v>
      </c>
      <c r="C146">
        <v>22610.143969326346</v>
      </c>
      <c r="D146">
        <v>12.94</v>
      </c>
    </row>
    <row r="147" spans="2:4" ht="12.75">
      <c r="B147" t="s">
        <v>78</v>
      </c>
      <c r="C147">
        <v>11242.236975938093</v>
      </c>
      <c r="D147">
        <v>7.38</v>
      </c>
    </row>
    <row r="148" spans="2:4" ht="12.75">
      <c r="B148" t="s">
        <v>79</v>
      </c>
      <c r="C148">
        <v>3078.5933519774503</v>
      </c>
      <c r="D148">
        <v>5.2</v>
      </c>
    </row>
    <row r="151" ht="12.75">
      <c r="A151" t="s">
        <v>118</v>
      </c>
    </row>
    <row r="152" spans="1:7" ht="12.75">
      <c r="A152" t="s">
        <v>12</v>
      </c>
      <c r="B152" t="s">
        <v>106</v>
      </c>
      <c r="C152" t="s">
        <v>107</v>
      </c>
      <c r="D152" t="s">
        <v>108</v>
      </c>
      <c r="E152" t="s">
        <v>108</v>
      </c>
      <c r="F152" t="s">
        <v>109</v>
      </c>
      <c r="G152" t="s">
        <v>109</v>
      </c>
    </row>
    <row r="153" spans="2:7" ht="12.75">
      <c r="B153" t="s">
        <v>110</v>
      </c>
      <c r="C153" t="s">
        <v>12</v>
      </c>
      <c r="D153" t="s">
        <v>12</v>
      </c>
      <c r="E153" t="s">
        <v>111</v>
      </c>
      <c r="F153" t="s">
        <v>111</v>
      </c>
      <c r="G153" t="s">
        <v>111</v>
      </c>
    </row>
    <row r="154" spans="2:7" ht="12.75">
      <c r="B154" t="s">
        <v>27</v>
      </c>
      <c r="C154">
        <v>85547.2543201574</v>
      </c>
      <c r="D154">
        <v>47.2</v>
      </c>
      <c r="E154" s="1">
        <f>D154</f>
        <v>47.2</v>
      </c>
      <c r="F154" s="1">
        <f>((D154*C154)+(D166*C166))/(C154+C166)</f>
        <v>47.83128974790552</v>
      </c>
      <c r="G154" s="1">
        <f>F154</f>
        <v>47.83128974790552</v>
      </c>
    </row>
    <row r="155" spans="2:7" ht="12.75">
      <c r="B155" t="s">
        <v>28</v>
      </c>
      <c r="C155">
        <v>137307.8226940257</v>
      </c>
      <c r="D155">
        <v>44.4</v>
      </c>
      <c r="E155" s="1">
        <f>D155</f>
        <v>44.4</v>
      </c>
      <c r="F155" s="1">
        <f>((D155*C155)+(D167*C167))/(C155+C167)</f>
        <v>44.97143509785186</v>
      </c>
      <c r="G155" s="1">
        <f>F155</f>
        <v>44.97143509785186</v>
      </c>
    </row>
    <row r="156" spans="2:7" ht="12.75">
      <c r="B156" t="s">
        <v>74</v>
      </c>
      <c r="C156">
        <v>139387.91154964117</v>
      </c>
      <c r="D156">
        <v>34.96</v>
      </c>
      <c r="E156" s="1">
        <f>((D156*C156)+(D157*C157)+(D158*C158)+(D159*C159)+(D160*C160)+(D161*C161))/(SUM(C156:C161))</f>
        <v>28.50356521267218</v>
      </c>
      <c r="F156" s="1">
        <f>((D156*C156)+(D168*C168))/(C156+C168)</f>
        <v>35.686005424570205</v>
      </c>
      <c r="G156" s="1">
        <f>((F156*(C156+C168))+(F157*(C157+C169))+(F158*(C158+C170))+(F159*(C159+C171))+(F160*(C160+C172))+(F161*(C161+C173)))/(SUM(C156:C161,C168:C173))</f>
        <v>29.06903553175047</v>
      </c>
    </row>
    <row r="157" spans="2:6" ht="12.75">
      <c r="B157" t="s">
        <v>75</v>
      </c>
      <c r="C157">
        <v>73331.796712562</v>
      </c>
      <c r="D157">
        <v>26.6975</v>
      </c>
      <c r="F157" s="1">
        <f>((D157*C157)+(D169*C169))/(C157+C169)</f>
        <v>27.824176069414182</v>
      </c>
    </row>
    <row r="158" spans="2:6" ht="12.75">
      <c r="B158" t="s">
        <v>76</v>
      </c>
      <c r="C158">
        <v>39432.40625344372</v>
      </c>
      <c r="D158">
        <v>18.895</v>
      </c>
      <c r="F158" s="1">
        <f>((D158*C158)+(D170*C170))/(C158+C170)</f>
        <v>19.598781523583806</v>
      </c>
    </row>
    <row r="159" spans="2:6" ht="12.75">
      <c r="B159" t="s">
        <v>77</v>
      </c>
      <c r="C159">
        <v>13844.465726898827</v>
      </c>
      <c r="D159">
        <v>11.83</v>
      </c>
      <c r="F159" s="1">
        <f>((D159*C159)+(D171*C171))/(C159+C171)</f>
        <v>12.05545582999649</v>
      </c>
    </row>
    <row r="160" spans="2:6" ht="12.75">
      <c r="B160" t="s">
        <v>78</v>
      </c>
      <c r="C160">
        <v>6089.108854043824</v>
      </c>
      <c r="D160">
        <v>7.53</v>
      </c>
      <c r="F160" s="1">
        <f>((D160*C160)+(D172*C172))/(C160+C172)</f>
        <v>7.398141882435245</v>
      </c>
    </row>
    <row r="161" spans="2:6" ht="12.75">
      <c r="B161" t="s">
        <v>79</v>
      </c>
      <c r="C161">
        <v>1333.9142679912375</v>
      </c>
      <c r="D161">
        <v>5.96</v>
      </c>
      <c r="F161" s="1">
        <f>((D161*C161)+(D173*C173))/(C161+C173)</f>
        <v>5.583274474320677</v>
      </c>
    </row>
    <row r="164" spans="2:5" ht="12.75">
      <c r="B164" t="s">
        <v>112</v>
      </c>
      <c r="C164" t="s">
        <v>107</v>
      </c>
      <c r="D164" t="s">
        <v>108</v>
      </c>
      <c r="E164" t="s">
        <v>108</v>
      </c>
    </row>
    <row r="165" spans="2:5" ht="12.75">
      <c r="B165" t="s">
        <v>110</v>
      </c>
      <c r="C165" t="s">
        <v>12</v>
      </c>
      <c r="D165" t="s">
        <v>12</v>
      </c>
      <c r="E165" t="s">
        <v>111</v>
      </c>
    </row>
    <row r="166" spans="2:5" ht="12.75">
      <c r="B166" t="s">
        <v>27</v>
      </c>
      <c r="C166">
        <v>84114.3901123115</v>
      </c>
      <c r="D166">
        <v>48.47333333333333</v>
      </c>
      <c r="E166" s="1">
        <f>D166</f>
        <v>48.47333333333333</v>
      </c>
    </row>
    <row r="167" spans="2:5" ht="12.75">
      <c r="B167" t="s">
        <v>28</v>
      </c>
      <c r="C167">
        <v>135615.74303188027</v>
      </c>
      <c r="D167">
        <v>45.55</v>
      </c>
      <c r="E167" s="1">
        <f>D167</f>
        <v>45.55</v>
      </c>
    </row>
    <row r="168" spans="2:5" ht="12.75">
      <c r="B168" t="s">
        <v>74</v>
      </c>
      <c r="C168">
        <v>139775.05265764994</v>
      </c>
      <c r="D168">
        <v>36.41</v>
      </c>
      <c r="E168" s="1">
        <f>((D168*C168)+(D169*C169)+(D170*C170)+(D171*C171)+(D172*C172)+(D173*C173))/(SUM(C168:C173))</f>
        <v>29.613448527881758</v>
      </c>
    </row>
    <row r="169" spans="2:4" ht="12.75">
      <c r="B169" t="s">
        <v>75</v>
      </c>
      <c r="C169">
        <v>75915.98251332738</v>
      </c>
      <c r="D169">
        <v>28.9125</v>
      </c>
    </row>
    <row r="170" spans="2:4" ht="12.75">
      <c r="B170" t="s">
        <v>76</v>
      </c>
      <c r="C170">
        <v>42615.18976603497</v>
      </c>
      <c r="D170">
        <v>20.25</v>
      </c>
    </row>
    <row r="171" spans="2:4" ht="12.75">
      <c r="B171" t="s">
        <v>77</v>
      </c>
      <c r="C171">
        <v>16044.251088375619</v>
      </c>
      <c r="D171">
        <v>12.25</v>
      </c>
    </row>
    <row r="172" spans="2:4" ht="12.75">
      <c r="B172" t="s">
        <v>78</v>
      </c>
      <c r="C172">
        <v>7660.619653845184</v>
      </c>
      <c r="D172">
        <v>7.293333333333334</v>
      </c>
    </row>
    <row r="173" spans="2:4" ht="12.75">
      <c r="B173" t="s">
        <v>79</v>
      </c>
      <c r="C173">
        <v>1984.0907978112957</v>
      </c>
      <c r="D173">
        <v>5.33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60" sqref="A60"/>
    </sheetView>
  </sheetViews>
  <sheetFormatPr defaultColWidth="9.140625" defaultRowHeight="12.75"/>
  <cols>
    <col min="1" max="1" width="15.421875" style="0" customWidth="1"/>
    <col min="2" max="3" width="12.00390625" style="0" customWidth="1"/>
    <col min="4" max="4" width="13.8515625" style="0" customWidth="1"/>
    <col min="5" max="5" width="17.8515625" style="0" customWidth="1"/>
    <col min="6" max="8" width="20.421875" style="0" customWidth="1"/>
    <col min="9" max="9" width="15.57421875" style="0" customWidth="1"/>
    <col min="10" max="11" width="12.00390625" style="0" customWidth="1"/>
  </cols>
  <sheetData>
    <row r="1" spans="1:5" ht="12.75">
      <c r="A1" s="6" t="s">
        <v>73</v>
      </c>
      <c r="E1" t="s">
        <v>109</v>
      </c>
    </row>
    <row r="2" spans="1:11" ht="12.75">
      <c r="A2" t="s">
        <v>21</v>
      </c>
      <c r="B2" t="s">
        <v>119</v>
      </c>
      <c r="C2" t="s">
        <v>120</v>
      </c>
      <c r="D2" t="s">
        <v>33</v>
      </c>
      <c r="E2" t="s">
        <v>111</v>
      </c>
      <c r="F2" t="s">
        <v>104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</row>
    <row r="3" spans="1:11" ht="12.75">
      <c r="A3" s="4" t="s">
        <v>27</v>
      </c>
      <c r="B3" s="8">
        <v>55259.657716091126</v>
      </c>
      <c r="C3">
        <v>52450.229276826496</v>
      </c>
      <c r="D3" s="1">
        <f>SUM(B3:C3)</f>
        <v>107709.88699291763</v>
      </c>
      <c r="E3">
        <v>64.29487520239418</v>
      </c>
      <c r="F3">
        <v>0.018728846400608585</v>
      </c>
      <c r="G3">
        <v>3</v>
      </c>
      <c r="H3" s="1">
        <f>G3/D3</f>
        <v>2.7852596300628023E-05</v>
      </c>
      <c r="I3" s="1">
        <f>F3-H3</f>
        <v>0.018700993804307956</v>
      </c>
      <c r="J3">
        <v>15460</v>
      </c>
      <c r="K3" s="1">
        <f>J3/D3</f>
        <v>0.14353371293590308</v>
      </c>
    </row>
    <row r="4" spans="1:11" ht="12.75">
      <c r="A4" s="4" t="s">
        <v>28</v>
      </c>
      <c r="B4" s="4">
        <v>107924.09003890178</v>
      </c>
      <c r="C4">
        <v>102088.74857248932</v>
      </c>
      <c r="D4" s="1">
        <f>SUM(B4:C4)</f>
        <v>210012.83861139108</v>
      </c>
      <c r="E4">
        <v>59.16846093762806</v>
      </c>
      <c r="F4">
        <v>0.0013430410988378124</v>
      </c>
      <c r="G4">
        <v>3</v>
      </c>
      <c r="H4" s="1">
        <f>G4/D4</f>
        <v>1.4284840964181321E-05</v>
      </c>
      <c r="I4" s="1">
        <f>F4-H4</f>
        <v>0.001328756257873631</v>
      </c>
      <c r="J4">
        <v>11810</v>
      </c>
      <c r="K4" s="1">
        <f>J4/D4</f>
        <v>0.05623465726232713</v>
      </c>
    </row>
    <row r="5" spans="1:11" ht="12.75">
      <c r="A5" s="4" t="s">
        <v>74</v>
      </c>
      <c r="B5" s="4">
        <v>136449.95912389897</v>
      </c>
      <c r="C5">
        <v>130612.35926088935</v>
      </c>
      <c r="D5" s="1">
        <f>SUM(B5:C5)</f>
        <v>267062.31838478835</v>
      </c>
      <c r="E5">
        <v>47.98067532792431</v>
      </c>
      <c r="F5">
        <v>0.0024475550476457802</v>
      </c>
      <c r="G5">
        <v>0.03</v>
      </c>
      <c r="H5" s="1">
        <f>G5/D5</f>
        <v>1.1233333171614066E-07</v>
      </c>
      <c r="I5" s="1">
        <f>F5-H5</f>
        <v>0.0024474427143140643</v>
      </c>
      <c r="J5">
        <v>485</v>
      </c>
      <c r="K5" s="1">
        <f>J5/D5</f>
        <v>0.0018160555294109407</v>
      </c>
    </row>
    <row r="6" spans="1:11" ht="12.75">
      <c r="A6" s="4" t="s">
        <v>75</v>
      </c>
      <c r="B6" s="4">
        <v>104514.55879901336</v>
      </c>
      <c r="C6">
        <v>101514.67510555778</v>
      </c>
      <c r="D6" s="1">
        <f>SUM(B6:C6)</f>
        <v>206029.23390457116</v>
      </c>
      <c r="E6">
        <v>35.164615333750234</v>
      </c>
      <c r="F6">
        <v>0.004293911912125845</v>
      </c>
      <c r="G6">
        <v>0.03</v>
      </c>
      <c r="H6" s="1">
        <f>G6/D6</f>
        <v>1.456104040744792E-07</v>
      </c>
      <c r="I6" s="1">
        <f>F6-H6</f>
        <v>0.004293766301721771</v>
      </c>
      <c r="J6">
        <v>485</v>
      </c>
      <c r="K6" s="1">
        <f>J6/D6</f>
        <v>0.0023540348658707476</v>
      </c>
    </row>
    <row r="7" spans="1:11" ht="12.75">
      <c r="A7" s="4" t="s">
        <v>76</v>
      </c>
      <c r="B7" s="4">
        <v>62556.21387263069</v>
      </c>
      <c r="C7">
        <v>62428.62270083848</v>
      </c>
      <c r="D7" s="1">
        <f>SUM(B7:C7)</f>
        <v>124984.83657346916</v>
      </c>
      <c r="E7">
        <v>22.823808153875692</v>
      </c>
      <c r="F7">
        <v>0.00999536759576026</v>
      </c>
      <c r="G7">
        <v>0.06</v>
      </c>
      <c r="H7" s="1">
        <f>G7/D7</f>
        <v>4.800582346221697E-07</v>
      </c>
      <c r="I7" s="1">
        <f>F7-H7</f>
        <v>0.009994887537525638</v>
      </c>
      <c r="J7">
        <v>970</v>
      </c>
      <c r="K7" s="1">
        <f>J7/D7</f>
        <v>0.007760941459725078</v>
      </c>
    </row>
    <row r="8" spans="1:11" ht="12.75">
      <c r="A8" s="4" t="s">
        <v>77</v>
      </c>
      <c r="B8" s="4">
        <v>23781.600834440495</v>
      </c>
      <c r="C8">
        <v>25972.546838782306</v>
      </c>
      <c r="D8" s="1">
        <f>SUM(B8:C8)</f>
        <v>49754.147673222804</v>
      </c>
      <c r="E8">
        <v>13.737806406090101</v>
      </c>
      <c r="F8">
        <v>0.027068988098827216</v>
      </c>
      <c r="G8">
        <v>0.02</v>
      </c>
      <c r="H8" s="1">
        <f>G8/D8</f>
        <v>4.019765373402991E-07</v>
      </c>
      <c r="I8" s="1">
        <f>F8-H8</f>
        <v>0.027068586122289875</v>
      </c>
      <c r="J8">
        <v>323.33</v>
      </c>
      <c r="K8" s="1">
        <f>J8/D8</f>
        <v>0.006498553690911945</v>
      </c>
    </row>
    <row r="9" spans="1:11" ht="12.75">
      <c r="A9" s="4" t="s">
        <v>78</v>
      </c>
      <c r="B9" s="4">
        <v>11750.675702290235</v>
      </c>
      <c r="C9">
        <v>15023.532730515313</v>
      </c>
      <c r="D9" s="1">
        <f>SUM(B9:C9)</f>
        <v>26774.20843280555</v>
      </c>
      <c r="E9">
        <v>8.131247152819451</v>
      </c>
      <c r="F9">
        <v>0.06222217371996643</v>
      </c>
      <c r="G9">
        <v>0.02</v>
      </c>
      <c r="H9" s="1">
        <f>G9/D9</f>
        <v>7.469875365388828E-07</v>
      </c>
      <c r="I9" s="1">
        <f>F9-H9</f>
        <v>0.06222142673242989</v>
      </c>
      <c r="J9">
        <v>323.33</v>
      </c>
      <c r="K9" s="1">
        <f>J9/D9</f>
        <v>0.012076174009455848</v>
      </c>
    </row>
    <row r="10" spans="1:11" ht="12.75">
      <c r="A10" s="4" t="s">
        <v>79</v>
      </c>
      <c r="B10" s="4">
        <v>2835.1986967562684</v>
      </c>
      <c r="C10">
        <v>4837.3307300785655</v>
      </c>
      <c r="D10" s="1">
        <f>SUM(B10:C10)</f>
        <v>7672.529426834833</v>
      </c>
      <c r="E10">
        <v>5.87110384310274</v>
      </c>
      <c r="F10">
        <v>0.15185182191873214</v>
      </c>
      <c r="G10">
        <v>0.02</v>
      </c>
      <c r="H10" s="1">
        <f>G10/D10</f>
        <v>2.606702286477987E-06</v>
      </c>
      <c r="I10" s="1">
        <f>F10-H10</f>
        <v>0.15184921521644568</v>
      </c>
      <c r="J10">
        <v>323.33</v>
      </c>
      <c r="K10" s="1">
        <f>J10/D10</f>
        <v>0.042141252514346375</v>
      </c>
    </row>
    <row r="11" spans="1:8" ht="12.75">
      <c r="A11" s="30" t="s">
        <v>126</v>
      </c>
      <c r="H11" s="6" t="s">
        <v>127</v>
      </c>
    </row>
    <row r="12" spans="1:13" ht="12.75">
      <c r="A12" t="s">
        <v>128</v>
      </c>
      <c r="B12" t="s">
        <v>129</v>
      </c>
      <c r="C12" t="s">
        <v>130</v>
      </c>
      <c r="D12" t="s">
        <v>131</v>
      </c>
      <c r="E12" t="s">
        <v>132</v>
      </c>
      <c r="F12" t="s">
        <v>133</v>
      </c>
      <c r="H12" t="s">
        <v>128</v>
      </c>
      <c r="I12" t="s">
        <v>129</v>
      </c>
      <c r="J12" t="s">
        <v>130</v>
      </c>
      <c r="K12" t="s">
        <v>131</v>
      </c>
      <c r="L12" t="s">
        <v>132</v>
      </c>
      <c r="M12" t="s">
        <v>133</v>
      </c>
    </row>
    <row r="13" spans="1:9" ht="12.75">
      <c r="A13">
        <v>5</v>
      </c>
      <c r="B13" s="31">
        <f>$D$4/10</f>
        <v>21001.28386113911</v>
      </c>
      <c r="H13">
        <v>5</v>
      </c>
      <c r="I13" s="31">
        <f>$D$4/10</f>
        <v>21001.28386113911</v>
      </c>
    </row>
    <row r="14" spans="1:10" ht="12.75">
      <c r="A14">
        <v>6</v>
      </c>
      <c r="B14" s="31">
        <f>$D$4/10</f>
        <v>21001.28386113911</v>
      </c>
      <c r="C14" s="31">
        <f>B13*(1-$I$4)</f>
        <v>20973.378273785238</v>
      </c>
      <c r="H14">
        <v>6</v>
      </c>
      <c r="I14" s="31">
        <f>$D$4/10</f>
        <v>21001.28386113911</v>
      </c>
      <c r="J14" s="31">
        <f>I13*(1-$F$4)</f>
        <v>20973.078273785242</v>
      </c>
    </row>
    <row r="15" spans="1:11" ht="12.75">
      <c r="A15">
        <v>7</v>
      </c>
      <c r="B15" s="31">
        <f>$D$4/10</f>
        <v>21001.28386113911</v>
      </c>
      <c r="C15" s="31">
        <f>B14*(1-$I$4)</f>
        <v>20973.378273785238</v>
      </c>
      <c r="D15" s="31">
        <f>C14*(1-$I$4)</f>
        <v>20945.509766155195</v>
      </c>
      <c r="H15">
        <v>7</v>
      </c>
      <c r="I15" s="31">
        <f>$D$4/10</f>
        <v>21001.28386113911</v>
      </c>
      <c r="J15" s="31">
        <f>I14*(1-$F$4)</f>
        <v>20973.078273785242</v>
      </c>
      <c r="K15" s="31">
        <f>J14*(1-$F$4)</f>
        <v>20944.91056769441</v>
      </c>
    </row>
    <row r="16" spans="1:12" ht="12.75">
      <c r="A16">
        <v>8</v>
      </c>
      <c r="B16" s="31">
        <f>$D$4/10</f>
        <v>21001.28386113911</v>
      </c>
      <c r="C16" s="31">
        <f>B15*(1-$I$4)</f>
        <v>20973.378273785238</v>
      </c>
      <c r="D16" s="31">
        <f>C15*(1-$I$4)</f>
        <v>20945.509766155195</v>
      </c>
      <c r="E16" s="31">
        <f>D15*(1-$I$4)</f>
        <v>20917.678288979063</v>
      </c>
      <c r="H16">
        <v>8</v>
      </c>
      <c r="I16" s="31">
        <f>$D$4/10</f>
        <v>21001.28386113911</v>
      </c>
      <c r="J16" s="31">
        <f>I15*(1-$F$4)</f>
        <v>20973.078273785242</v>
      </c>
      <c r="K16" s="31">
        <f>J15*(1-$F$4)</f>
        <v>20944.91056769441</v>
      </c>
      <c r="L16" s="31">
        <f>K15*(1-$F$4)</f>
        <v>20916.780691990512</v>
      </c>
    </row>
    <row r="17" spans="1:13" ht="12.75">
      <c r="A17">
        <v>9</v>
      </c>
      <c r="B17" s="31">
        <f>$D$4/10</f>
        <v>21001.28386113911</v>
      </c>
      <c r="C17" s="31">
        <f>B16*(1-$I$4)</f>
        <v>20973.378273785238</v>
      </c>
      <c r="D17" s="31">
        <f>C16*(1-$I$4)</f>
        <v>20945.509766155195</v>
      </c>
      <c r="E17" s="31">
        <f>D16*(1-$I$4)</f>
        <v>20917.678288979063</v>
      </c>
      <c r="F17" s="31">
        <f>E16*(1-$I$4)</f>
        <v>20889.883793052395</v>
      </c>
      <c r="H17">
        <v>9</v>
      </c>
      <c r="I17" s="31">
        <f>$D$4/10</f>
        <v>21001.28386113911</v>
      </c>
      <c r="J17" s="31">
        <f>I16*(1-$F$4)</f>
        <v>20973.078273785242</v>
      </c>
      <c r="K17" s="31">
        <f>J16*(1-$F$4)</f>
        <v>20944.91056769441</v>
      </c>
      <c r="L17" s="31">
        <f>K16*(1-$F$4)</f>
        <v>20916.780691990512</v>
      </c>
      <c r="M17" s="31">
        <f>L16*(1-$F$4)</f>
        <v>20888.68859586579</v>
      </c>
    </row>
    <row r="18" spans="1:13" ht="12.75">
      <c r="A18">
        <v>10</v>
      </c>
      <c r="B18" s="31">
        <f>$D$4/10</f>
        <v>21001.28386113911</v>
      </c>
      <c r="C18" s="31">
        <f>B17*(1-$I$4)</f>
        <v>20973.378273785238</v>
      </c>
      <c r="D18" s="31">
        <f>C17*(1-$I$4)</f>
        <v>20945.509766155195</v>
      </c>
      <c r="E18" s="31">
        <f>D17*(1-$I$4)</f>
        <v>20917.678288979063</v>
      </c>
      <c r="F18" s="31">
        <f>E17*(1-$I$4)</f>
        <v>20889.883793052395</v>
      </c>
      <c r="H18">
        <v>10</v>
      </c>
      <c r="I18" s="31">
        <f>$D$4/10</f>
        <v>21001.28386113911</v>
      </c>
      <c r="J18" s="31">
        <f>I17*(1-$F$4)</f>
        <v>20973.078273785242</v>
      </c>
      <c r="K18" s="31">
        <f>J17*(1-$F$4)</f>
        <v>20944.91056769441</v>
      </c>
      <c r="L18" s="31">
        <f>K17*(1-$F$4)</f>
        <v>20916.780691990512</v>
      </c>
      <c r="M18" s="31">
        <f>L17*(1-$F$4)</f>
        <v>20888.68859586579</v>
      </c>
    </row>
    <row r="19" spans="1:13" ht="12.75">
      <c r="A19">
        <v>11</v>
      </c>
      <c r="B19" s="31">
        <f>$D$4/10</f>
        <v>21001.28386113911</v>
      </c>
      <c r="C19" s="31">
        <f>B18*(1-$I$4)</f>
        <v>20973.378273785238</v>
      </c>
      <c r="D19" s="31">
        <f>C18*(1-$I$4)</f>
        <v>20945.509766155195</v>
      </c>
      <c r="E19" s="31">
        <f>D18*(1-$I$4)</f>
        <v>20917.678288979063</v>
      </c>
      <c r="F19" s="31">
        <f>E18*(1-$I$4)</f>
        <v>20889.883793052395</v>
      </c>
      <c r="H19">
        <v>11</v>
      </c>
      <c r="I19" s="31">
        <f>$D$4/10</f>
        <v>21001.28386113911</v>
      </c>
      <c r="J19" s="31">
        <f>I18*(1-$F$4)</f>
        <v>20973.078273785242</v>
      </c>
      <c r="K19" s="31">
        <f>J18*(1-$F$4)</f>
        <v>20944.91056769441</v>
      </c>
      <c r="L19" s="31">
        <f>K18*(1-$F$4)</f>
        <v>20916.780691990512</v>
      </c>
      <c r="M19" s="31">
        <f>L18*(1-$F$4)</f>
        <v>20888.68859586579</v>
      </c>
    </row>
    <row r="20" spans="1:13" ht="12.75">
      <c r="A20">
        <v>12</v>
      </c>
      <c r="B20" s="31">
        <f>$D$4/10</f>
        <v>21001.28386113911</v>
      </c>
      <c r="C20" s="31">
        <f>B19*(1-$I$4)</f>
        <v>20973.378273785238</v>
      </c>
      <c r="D20" s="31">
        <f>C19*(1-$I$4)</f>
        <v>20945.509766155195</v>
      </c>
      <c r="E20" s="31">
        <f>D19*(1-$I$4)</f>
        <v>20917.678288979063</v>
      </c>
      <c r="F20" s="31">
        <f>E19*(1-$I$4)</f>
        <v>20889.883793052395</v>
      </c>
      <c r="H20">
        <v>12</v>
      </c>
      <c r="I20" s="31">
        <f>$D$4/10</f>
        <v>21001.28386113911</v>
      </c>
      <c r="J20" s="31">
        <f>I19*(1-$F$4)</f>
        <v>20973.078273785242</v>
      </c>
      <c r="K20" s="31">
        <f>J19*(1-$F$4)</f>
        <v>20944.91056769441</v>
      </c>
      <c r="L20" s="31">
        <f>K19*(1-$F$4)</f>
        <v>20916.780691990512</v>
      </c>
      <c r="M20" s="31">
        <f>L19*(1-$F$4)</f>
        <v>20888.68859586579</v>
      </c>
    </row>
    <row r="21" spans="1:13" ht="12.75">
      <c r="A21">
        <v>13</v>
      </c>
      <c r="B21" s="31">
        <f>$D$4/10</f>
        <v>21001.28386113911</v>
      </c>
      <c r="C21" s="31">
        <f>B20*(1-$I$4)</f>
        <v>20973.378273785238</v>
      </c>
      <c r="D21" s="31">
        <f>C20*(1-$I$4)</f>
        <v>20945.509766155195</v>
      </c>
      <c r="E21" s="31">
        <f>D20*(1-$I$4)</f>
        <v>20917.678288979063</v>
      </c>
      <c r="F21" s="31">
        <f>E20*(1-$I$4)</f>
        <v>20889.883793052395</v>
      </c>
      <c r="H21">
        <v>13</v>
      </c>
      <c r="I21" s="31">
        <f>$D$4/10</f>
        <v>21001.28386113911</v>
      </c>
      <c r="J21" s="31">
        <f>I20*(1-$F$4)</f>
        <v>20973.078273785242</v>
      </c>
      <c r="K21" s="31">
        <f>J20*(1-$F$4)</f>
        <v>20944.91056769441</v>
      </c>
      <c r="L21" s="31">
        <f>K20*(1-$F$4)</f>
        <v>20916.780691990512</v>
      </c>
      <c r="M21" s="31">
        <f>L20*(1-$F$4)</f>
        <v>20888.68859586579</v>
      </c>
    </row>
    <row r="22" spans="1:13" ht="12.75">
      <c r="A22" s="32">
        <v>14</v>
      </c>
      <c r="B22" s="33">
        <f>$D$4/10</f>
        <v>21001.28386113911</v>
      </c>
      <c r="C22" s="33">
        <f>B21*(1-$I$4)</f>
        <v>20973.378273785238</v>
      </c>
      <c r="D22" s="33">
        <f>C21*(1-$I$4)</f>
        <v>20945.509766155195</v>
      </c>
      <c r="E22" s="33">
        <f>D21*(1-$I$4)</f>
        <v>20917.678288979063</v>
      </c>
      <c r="F22" s="33">
        <f>E21*(1-$I$4)</f>
        <v>20889.883793052395</v>
      </c>
      <c r="H22" s="32">
        <v>14</v>
      </c>
      <c r="I22" s="33">
        <f>$D$4/10</f>
        <v>21001.28386113911</v>
      </c>
      <c r="J22" s="33">
        <f>I21*(1-$F$4)</f>
        <v>20973.078273785242</v>
      </c>
      <c r="K22" s="33">
        <f>J21*(1-$F$4)</f>
        <v>20944.91056769441</v>
      </c>
      <c r="L22" s="33">
        <f>K21*(1-$F$4)</f>
        <v>20916.780691990512</v>
      </c>
      <c r="M22" s="33">
        <f>L21*(1-$F$4)</f>
        <v>20888.68859586579</v>
      </c>
    </row>
    <row r="23" spans="1:13" ht="12.75">
      <c r="A23">
        <v>15</v>
      </c>
      <c r="B23" s="1">
        <f>$B$5/15</f>
        <v>9096.663941593264</v>
      </c>
      <c r="C23" s="31">
        <f>B22*(1-$I$4)</f>
        <v>20973.378273785238</v>
      </c>
      <c r="D23" s="31">
        <f>C22*(1-$I$4)</f>
        <v>20945.509766155195</v>
      </c>
      <c r="E23" s="31">
        <f>D22*(1-$I$4)</f>
        <v>20917.678288979063</v>
      </c>
      <c r="F23" s="31">
        <f>E22*(1-$I$4)</f>
        <v>20889.883793052395</v>
      </c>
      <c r="H23">
        <v>15</v>
      </c>
      <c r="I23" s="1">
        <f>$B$5/15</f>
        <v>9096.663941593264</v>
      </c>
      <c r="J23" s="31">
        <f>I22*(1-$F$4)</f>
        <v>20973.078273785242</v>
      </c>
      <c r="K23" s="31">
        <f>J22*(1-$F$4)</f>
        <v>20944.91056769441</v>
      </c>
      <c r="L23" s="31">
        <f>K22*(1-$F$4)</f>
        <v>20916.780691990512</v>
      </c>
      <c r="M23" s="31">
        <f>L22*(1-$F$4)</f>
        <v>20888.68859586579</v>
      </c>
    </row>
    <row r="24" spans="1:13" ht="12.75">
      <c r="A24">
        <v>16</v>
      </c>
      <c r="B24" s="1">
        <f>$B$5/15</f>
        <v>9096.663941593264</v>
      </c>
      <c r="C24" s="1">
        <f>B23*(1-$F$5)</f>
        <v>9074.399355846279</v>
      </c>
      <c r="D24" s="31">
        <f>C23*(1-$F$5)</f>
        <v>20922.04477592505</v>
      </c>
      <c r="E24" s="31">
        <f>D23*(1-$F$5)</f>
        <v>20894.24447800153</v>
      </c>
      <c r="F24" s="31">
        <f>E23*(1-$F$5)</f>
        <v>20866.481119897842</v>
      </c>
      <c r="G24" t="s">
        <v>134</v>
      </c>
      <c r="H24">
        <v>16</v>
      </c>
      <c r="I24" s="1">
        <f>$B$5/15</f>
        <v>9096.663941593264</v>
      </c>
      <c r="J24" s="1">
        <f>I23*(1-$F$5)</f>
        <v>9074.399355846279</v>
      </c>
      <c r="K24" s="31">
        <f>J23*(1-$F$5)</f>
        <v>20921.74551019157</v>
      </c>
      <c r="L24" s="31">
        <f>K23*(1-$F$5)</f>
        <v>20893.646746111957</v>
      </c>
      <c r="M24" s="31">
        <f>L23*(1-$F$5)</f>
        <v>20865.58571982733</v>
      </c>
    </row>
    <row r="25" spans="1:13" ht="12.75">
      <c r="A25">
        <v>17</v>
      </c>
      <c r="B25" s="1">
        <f>$B$5/15</f>
        <v>9096.663941593264</v>
      </c>
      <c r="C25" s="1">
        <f>B24*(1-$F$5)</f>
        <v>9074.399355846279</v>
      </c>
      <c r="D25" s="34">
        <f>C24*(1-$F$5)</f>
        <v>9052.189263898523</v>
      </c>
      <c r="E25" s="31">
        <f>D24*(1-$F$5)</f>
        <v>20870.83691962666</v>
      </c>
      <c r="F25" s="31">
        <f>E24*(1-$F$5)</f>
        <v>20843.10466446265</v>
      </c>
      <c r="G25" t="s">
        <v>135</v>
      </c>
      <c r="H25">
        <v>17</v>
      </c>
      <c r="I25" s="1">
        <f>$B$5/15</f>
        <v>9096.663941593264</v>
      </c>
      <c r="J25" s="1">
        <f>I24*(1-$F$5)</f>
        <v>9074.399355846279</v>
      </c>
      <c r="K25" s="34">
        <f>J24*(1-$F$5)</f>
        <v>9052.189263898523</v>
      </c>
      <c r="L25" s="31">
        <f>K24*(1-$F$5)</f>
        <v>20870.53838636254</v>
      </c>
      <c r="M25" s="31">
        <f>L24*(1-$F$5)</f>
        <v>20842.50839555478</v>
      </c>
    </row>
    <row r="26" spans="1:13" ht="12.75">
      <c r="A26">
        <v>18</v>
      </c>
      <c r="B26" s="1">
        <f>$B$5/15</f>
        <v>9096.663941593264</v>
      </c>
      <c r="C26" s="1">
        <f>B25*(1-$F$5)</f>
        <v>9074.399355846279</v>
      </c>
      <c r="D26" s="34">
        <f>C25*(1-$F$5)</f>
        <v>9052.189263898523</v>
      </c>
      <c r="E26" s="1">
        <f>D25*(1-$F$5)</f>
        <v>9030.033532373423</v>
      </c>
      <c r="F26" s="31">
        <f>E25*(1-$F$5)</f>
        <v>20819.754397375436</v>
      </c>
      <c r="H26">
        <v>18</v>
      </c>
      <c r="I26" s="1">
        <f>$B$5/15</f>
        <v>9096.663941593264</v>
      </c>
      <c r="J26" s="1">
        <f>I25*(1-$F$5)</f>
        <v>9074.399355846279</v>
      </c>
      <c r="K26" s="34">
        <f>J25*(1-$F$5)</f>
        <v>9052.189263898523</v>
      </c>
      <c r="L26" s="1">
        <f>K25*(1-$F$5)</f>
        <v>9030.033532373423</v>
      </c>
      <c r="M26" s="31">
        <f>L25*(1-$F$5)</f>
        <v>20819.456594787913</v>
      </c>
    </row>
    <row r="27" spans="1:13" ht="12.75">
      <c r="A27">
        <v>19</v>
      </c>
      <c r="B27" s="1">
        <f>$B$5/15</f>
        <v>9096.663941593264</v>
      </c>
      <c r="C27" s="1">
        <f>B26*(1-$F$5)</f>
        <v>9074.399355846279</v>
      </c>
      <c r="D27" s="34">
        <f>C26*(1-$F$5)</f>
        <v>9052.189263898523</v>
      </c>
      <c r="E27" s="1">
        <f>D26*(1-$F$5)</f>
        <v>9030.033532373423</v>
      </c>
      <c r="F27" s="1">
        <f>E26*(1-$F$5)</f>
        <v>9007.932028220852</v>
      </c>
      <c r="H27">
        <v>19</v>
      </c>
      <c r="I27" s="1">
        <f>$B$5/15</f>
        <v>9096.663941593264</v>
      </c>
      <c r="J27" s="1">
        <f>I26*(1-$F$5)</f>
        <v>9074.399355846279</v>
      </c>
      <c r="K27" s="34">
        <f>J26*(1-$F$5)</f>
        <v>9052.189263898523</v>
      </c>
      <c r="L27" s="1">
        <f>K26*(1-$F$5)</f>
        <v>9030.033532373423</v>
      </c>
      <c r="M27" s="1">
        <f>L26*(1-$F$5)</f>
        <v>9007.932028220852</v>
      </c>
    </row>
    <row r="28" spans="1:13" ht="12.75">
      <c r="A28">
        <v>20</v>
      </c>
      <c r="B28" s="1">
        <f>$B$5/15</f>
        <v>9096.663941593264</v>
      </c>
      <c r="C28" s="1">
        <f>B27*(1-$F$5)</f>
        <v>9074.399355846279</v>
      </c>
      <c r="D28" s="34">
        <f>C27*(1-$F$5)</f>
        <v>9052.189263898523</v>
      </c>
      <c r="E28" s="1">
        <f>D27*(1-$F$5)</f>
        <v>9030.033532373423</v>
      </c>
      <c r="F28" s="1">
        <f>E27*(1-$F$5)</f>
        <v>9007.932028220852</v>
      </c>
      <c r="H28">
        <v>20</v>
      </c>
      <c r="I28" s="1">
        <f>$B$5/15</f>
        <v>9096.663941593264</v>
      </c>
      <c r="J28" s="1">
        <f>I27*(1-$F$5)</f>
        <v>9074.399355846279</v>
      </c>
      <c r="K28" s="34">
        <f>J27*(1-$F$5)</f>
        <v>9052.189263898523</v>
      </c>
      <c r="L28" s="1">
        <f>K27*(1-$F$5)</f>
        <v>9030.033532373423</v>
      </c>
      <c r="M28" s="1">
        <f>L27*(1-$F$5)</f>
        <v>9007.932028220852</v>
      </c>
    </row>
    <row r="29" spans="1:13" ht="12.75">
      <c r="A29">
        <v>21</v>
      </c>
      <c r="B29" s="1">
        <f>$B$5/15</f>
        <v>9096.663941593264</v>
      </c>
      <c r="C29" s="1">
        <f>B28*(1-$F$5)</f>
        <v>9074.399355846279</v>
      </c>
      <c r="D29" s="34">
        <f>C28*(1-$F$5)</f>
        <v>9052.189263898523</v>
      </c>
      <c r="E29" s="1">
        <f>D28*(1-$F$5)</f>
        <v>9030.033532373423</v>
      </c>
      <c r="F29" s="1">
        <f>E28*(1-$F$5)</f>
        <v>9007.932028220852</v>
      </c>
      <c r="H29">
        <v>21</v>
      </c>
      <c r="I29" s="1">
        <f>$B$5/15</f>
        <v>9096.663941593264</v>
      </c>
      <c r="J29" s="1">
        <f>I28*(1-$F$5)</f>
        <v>9074.399355846279</v>
      </c>
      <c r="K29" s="34">
        <f>J28*(1-$F$5)</f>
        <v>9052.189263898523</v>
      </c>
      <c r="L29" s="1">
        <f>K28*(1-$F$5)</f>
        <v>9030.033532373423</v>
      </c>
      <c r="M29" s="1">
        <f>L28*(1-$F$5)</f>
        <v>9007.932028220852</v>
      </c>
    </row>
    <row r="30" spans="1:13" ht="12.75">
      <c r="A30">
        <v>22</v>
      </c>
      <c r="B30" s="1">
        <f>$B$5/15</f>
        <v>9096.663941593264</v>
      </c>
      <c r="C30" s="1">
        <f>B29*(1-$F$5)</f>
        <v>9074.399355846279</v>
      </c>
      <c r="D30" s="34">
        <f>C29*(1-$F$5)</f>
        <v>9052.189263898523</v>
      </c>
      <c r="E30" s="1">
        <f>D29*(1-$F$5)</f>
        <v>9030.033532373423</v>
      </c>
      <c r="F30" s="1">
        <f>E29*(1-$F$5)</f>
        <v>9007.932028220852</v>
      </c>
      <c r="H30">
        <v>22</v>
      </c>
      <c r="I30" s="1">
        <f>$B$5/15</f>
        <v>9096.663941593264</v>
      </c>
      <c r="J30" s="1">
        <f>I29*(1-$F$5)</f>
        <v>9074.399355846279</v>
      </c>
      <c r="K30" s="34">
        <f>J29*(1-$F$5)</f>
        <v>9052.189263898523</v>
      </c>
      <c r="L30" s="1">
        <f>K29*(1-$F$5)</f>
        <v>9030.033532373423</v>
      </c>
      <c r="M30" s="1">
        <f>L29*(1-$F$5)</f>
        <v>9007.932028220852</v>
      </c>
    </row>
    <row r="31" spans="1:13" ht="12.75">
      <c r="A31">
        <v>23</v>
      </c>
      <c r="B31" s="1">
        <f>$B$5/15</f>
        <v>9096.663941593264</v>
      </c>
      <c r="C31" s="1">
        <f>B30*(1-$F$5)</f>
        <v>9074.399355846279</v>
      </c>
      <c r="D31" s="34">
        <f>C30*(1-$F$5)</f>
        <v>9052.189263898523</v>
      </c>
      <c r="E31" s="1">
        <f>D30*(1-$F$5)</f>
        <v>9030.033532373423</v>
      </c>
      <c r="F31" s="1">
        <f>E30*(1-$F$5)</f>
        <v>9007.932028220852</v>
      </c>
      <c r="H31">
        <v>23</v>
      </c>
      <c r="I31" s="1">
        <f>$B$5/15</f>
        <v>9096.663941593264</v>
      </c>
      <c r="J31" s="1">
        <f>I30*(1-$F$5)</f>
        <v>9074.399355846279</v>
      </c>
      <c r="K31" s="34">
        <f>J30*(1-$F$5)</f>
        <v>9052.189263898523</v>
      </c>
      <c r="L31" s="1">
        <f>K30*(1-$F$5)</f>
        <v>9030.033532373423</v>
      </c>
      <c r="M31" s="1">
        <f>L30*(1-$F$5)</f>
        <v>9007.932028220852</v>
      </c>
    </row>
    <row r="32" spans="1:13" ht="12.75">
      <c r="A32">
        <v>24</v>
      </c>
      <c r="B32" s="1">
        <f>$B$5/15</f>
        <v>9096.663941593264</v>
      </c>
      <c r="C32" s="1">
        <f>B31*(1-$F$5)</f>
        <v>9074.399355846279</v>
      </c>
      <c r="D32" s="34">
        <f>C31*(1-$F$5)</f>
        <v>9052.189263898523</v>
      </c>
      <c r="E32" s="1">
        <f>D31*(1-$F$5)</f>
        <v>9030.033532373423</v>
      </c>
      <c r="F32" s="1">
        <f>E31*(1-$F$5)</f>
        <v>9007.932028220852</v>
      </c>
      <c r="H32">
        <v>24</v>
      </c>
      <c r="I32" s="1">
        <f>$B$5/15</f>
        <v>9096.663941593264</v>
      </c>
      <c r="J32" s="1">
        <f>I31*(1-$F$5)</f>
        <v>9074.399355846279</v>
      </c>
      <c r="K32" s="34">
        <f>J31*(1-$F$5)</f>
        <v>9052.189263898523</v>
      </c>
      <c r="L32" s="1">
        <f>K31*(1-$F$5)</f>
        <v>9030.033532373423</v>
      </c>
      <c r="M32" s="1">
        <f>L31*(1-$F$5)</f>
        <v>9007.932028220852</v>
      </c>
    </row>
    <row r="33" spans="1:13" ht="12.75">
      <c r="A33">
        <v>25</v>
      </c>
      <c r="B33" s="1">
        <f>$B$5/15</f>
        <v>9096.663941593264</v>
      </c>
      <c r="C33" s="1">
        <f>B32*(1-$F$5)</f>
        <v>9074.399355846279</v>
      </c>
      <c r="D33" s="34">
        <f>C32*(1-$F$5)</f>
        <v>9052.189263898523</v>
      </c>
      <c r="E33" s="1">
        <f>D32*(1-$F$5)</f>
        <v>9030.033532373423</v>
      </c>
      <c r="F33" s="1">
        <f>E32*(1-$F$5)</f>
        <v>9007.932028220852</v>
      </c>
      <c r="H33">
        <v>25</v>
      </c>
      <c r="I33" s="1">
        <f>$B$5/15</f>
        <v>9096.663941593264</v>
      </c>
      <c r="J33" s="1">
        <f>I32*(1-$F$5)</f>
        <v>9074.399355846279</v>
      </c>
      <c r="K33" s="34">
        <f>J32*(1-$F$5)</f>
        <v>9052.189263898523</v>
      </c>
      <c r="L33" s="1">
        <f>K32*(1-$F$5)</f>
        <v>9030.033532373423</v>
      </c>
      <c r="M33" s="1">
        <f>L32*(1-$F$5)</f>
        <v>9007.932028220852</v>
      </c>
    </row>
    <row r="34" spans="1:13" ht="12.75">
      <c r="A34">
        <v>26</v>
      </c>
      <c r="B34" s="1">
        <f>$B$5/15</f>
        <v>9096.663941593264</v>
      </c>
      <c r="C34" s="1">
        <f>B33*(1-$F$5)</f>
        <v>9074.399355846279</v>
      </c>
      <c r="D34" s="34">
        <f>C33*(1-$F$5)</f>
        <v>9052.189263898523</v>
      </c>
      <c r="E34" s="1">
        <f>D33*(1-$F$5)</f>
        <v>9030.033532373423</v>
      </c>
      <c r="F34" s="1">
        <f>E33*(1-$F$5)</f>
        <v>9007.932028220852</v>
      </c>
      <c r="H34">
        <v>26</v>
      </c>
      <c r="I34" s="1">
        <f>$B$5/15</f>
        <v>9096.663941593264</v>
      </c>
      <c r="J34" s="1">
        <f>I33*(1-$F$5)</f>
        <v>9074.399355846279</v>
      </c>
      <c r="K34" s="34">
        <f>J33*(1-$F$5)</f>
        <v>9052.189263898523</v>
      </c>
      <c r="L34" s="1">
        <f>K33*(1-$F$5)</f>
        <v>9030.033532373423</v>
      </c>
      <c r="M34" s="1">
        <f>L33*(1-$F$5)</f>
        <v>9007.932028220852</v>
      </c>
    </row>
    <row r="35" spans="1:13" ht="12.75">
      <c r="A35">
        <v>27</v>
      </c>
      <c r="B35" s="1">
        <f>$B$5/15</f>
        <v>9096.663941593264</v>
      </c>
      <c r="C35" s="1">
        <f>B34*(1-$F$5)</f>
        <v>9074.399355846279</v>
      </c>
      <c r="D35" s="34">
        <f>C34*(1-$F$5)</f>
        <v>9052.189263898523</v>
      </c>
      <c r="E35" s="1">
        <f>D34*(1-$F$5)</f>
        <v>9030.033532373423</v>
      </c>
      <c r="F35" s="1">
        <f>E34*(1-$F$5)</f>
        <v>9007.932028220852</v>
      </c>
      <c r="H35">
        <v>27</v>
      </c>
      <c r="I35" s="1">
        <f>$B$5/15</f>
        <v>9096.663941593264</v>
      </c>
      <c r="J35" s="1">
        <f>I34*(1-$F$5)</f>
        <v>9074.399355846279</v>
      </c>
      <c r="K35" s="34">
        <f>J34*(1-$F$5)</f>
        <v>9052.189263898523</v>
      </c>
      <c r="L35" s="1">
        <f>K34*(1-$F$5)</f>
        <v>9030.033532373423</v>
      </c>
      <c r="M35" s="1">
        <f>L34*(1-$F$5)</f>
        <v>9007.932028220852</v>
      </c>
    </row>
    <row r="36" spans="1:13" ht="12.75">
      <c r="A36">
        <v>28</v>
      </c>
      <c r="B36" s="1">
        <f>$B$5/15</f>
        <v>9096.663941593264</v>
      </c>
      <c r="C36" s="1">
        <f>B35*(1-$F$5)</f>
        <v>9074.399355846279</v>
      </c>
      <c r="D36" s="34">
        <f>C35*(1-$F$5)</f>
        <v>9052.189263898523</v>
      </c>
      <c r="E36" s="1">
        <f>D35*(1-$F$5)</f>
        <v>9030.033532373423</v>
      </c>
      <c r="F36" s="1">
        <f>E35*(1-$F$5)</f>
        <v>9007.932028220852</v>
      </c>
      <c r="H36">
        <v>28</v>
      </c>
      <c r="I36" s="1">
        <f>$B$5/15</f>
        <v>9096.663941593264</v>
      </c>
      <c r="J36" s="1">
        <f>I35*(1-$F$5)</f>
        <v>9074.399355846279</v>
      </c>
      <c r="K36" s="34">
        <f>J35*(1-$F$5)</f>
        <v>9052.189263898523</v>
      </c>
      <c r="L36" s="1">
        <f>K35*(1-$F$5)</f>
        <v>9030.033532373423</v>
      </c>
      <c r="M36" s="1">
        <f>L35*(1-$F$5)</f>
        <v>9007.932028220852</v>
      </c>
    </row>
    <row r="37" spans="1:13" ht="12.75">
      <c r="A37">
        <v>29</v>
      </c>
      <c r="B37" s="1">
        <f>$B$5/15</f>
        <v>9096.663941593264</v>
      </c>
      <c r="C37" s="1">
        <f>B36*(1-$F$5)</f>
        <v>9074.399355846279</v>
      </c>
      <c r="D37" s="34">
        <f>C36*(1-$F$5)</f>
        <v>9052.189263898523</v>
      </c>
      <c r="E37" s="1">
        <f>D36*(1-$F$5)</f>
        <v>9030.033532373423</v>
      </c>
      <c r="F37" s="1">
        <f>E36*(1-$F$5)</f>
        <v>9007.932028220852</v>
      </c>
      <c r="H37">
        <v>29</v>
      </c>
      <c r="I37" s="1">
        <f>$B$5/15</f>
        <v>9096.663941593264</v>
      </c>
      <c r="J37" s="1">
        <f>I36*(1-$F$5)</f>
        <v>9074.399355846279</v>
      </c>
      <c r="K37" s="34">
        <f>J36*(1-$F$5)</f>
        <v>9052.189263898523</v>
      </c>
      <c r="L37" s="1">
        <f>K36*(1-$F$5)</f>
        <v>9030.033532373423</v>
      </c>
      <c r="M37" s="1">
        <f>L36*(1-$F$5)</f>
        <v>9007.932028220852</v>
      </c>
    </row>
    <row r="38" spans="1:13" ht="12.75">
      <c r="A38">
        <v>30</v>
      </c>
      <c r="C38" s="1">
        <f>B37*(1-$F$5)</f>
        <v>9074.399355846279</v>
      </c>
      <c r="D38" s="34">
        <f>C37*(1-$F$5)</f>
        <v>9052.189263898523</v>
      </c>
      <c r="E38" s="1">
        <f>D37*(1-$F$5)</f>
        <v>9030.033532373423</v>
      </c>
      <c r="F38" s="1">
        <f>E37*(1-$F$5)</f>
        <v>9007.932028220852</v>
      </c>
      <c r="H38">
        <v>30</v>
      </c>
      <c r="J38" s="1">
        <f>I37*(1-$F$5)</f>
        <v>9074.399355846279</v>
      </c>
      <c r="K38" s="34">
        <f>J37*(1-$F$5)</f>
        <v>9052.189263898523</v>
      </c>
      <c r="L38" s="1">
        <f>K37*(1-$F$5)</f>
        <v>9030.033532373423</v>
      </c>
      <c r="M38" s="1">
        <f>L37*(1-$F$5)</f>
        <v>9007.932028220852</v>
      </c>
    </row>
    <row r="39" spans="1:13" ht="12.75">
      <c r="A39">
        <v>31</v>
      </c>
      <c r="D39" s="34">
        <f>C38*(1-$F$5)</f>
        <v>9052.189263898523</v>
      </c>
      <c r="E39" s="1">
        <f>D38*(1-$F$5)</f>
        <v>9030.033532373423</v>
      </c>
      <c r="F39" s="1">
        <f>E38*(1-$F$5)</f>
        <v>9007.932028220852</v>
      </c>
      <c r="H39">
        <v>31</v>
      </c>
      <c r="K39" s="34">
        <f>J38*(1-$F$5)</f>
        <v>9052.189263898523</v>
      </c>
      <c r="L39" s="1">
        <f>K38*(1-$F$5)</f>
        <v>9030.033532373423</v>
      </c>
      <c r="M39" s="1">
        <f>L38*(1-$F$5)</f>
        <v>9007.932028220852</v>
      </c>
    </row>
    <row r="40" spans="1:13" ht="12.75">
      <c r="A40">
        <v>32</v>
      </c>
      <c r="E40" s="1">
        <f>D39*(1-$F$5)</f>
        <v>9030.033532373423</v>
      </c>
      <c r="F40" s="1">
        <f>E39*(1-$F$5)</f>
        <v>9007.932028220852</v>
      </c>
      <c r="H40">
        <v>32</v>
      </c>
      <c r="L40" s="1">
        <f>K39*(1-$F$5)</f>
        <v>9030.033532373423</v>
      </c>
      <c r="M40" s="1">
        <f>L39*(1-$F$5)</f>
        <v>9007.932028220852</v>
      </c>
    </row>
    <row r="41" spans="1:13" ht="12.75">
      <c r="A41">
        <v>33</v>
      </c>
      <c r="F41" s="1">
        <f>E40*(1-$F$5)</f>
        <v>9007.932028220852</v>
      </c>
      <c r="H41">
        <v>33</v>
      </c>
      <c r="M41" s="1">
        <f>L40*(1-$F$5)</f>
        <v>9007.932028220852</v>
      </c>
    </row>
    <row r="42" spans="1:9" ht="12.75">
      <c r="A42" s="7" t="s">
        <v>19</v>
      </c>
      <c r="B42">
        <v>0.03</v>
      </c>
      <c r="H42" s="7" t="s">
        <v>19</v>
      </c>
      <c r="I42">
        <v>0.03</v>
      </c>
    </row>
    <row r="43" spans="1:9" ht="12.75">
      <c r="A43" t="s">
        <v>136</v>
      </c>
      <c r="B43">
        <v>0.463</v>
      </c>
      <c r="H43" t="s">
        <v>136</v>
      </c>
      <c r="I43">
        <v>0.463</v>
      </c>
    </row>
    <row r="44" spans="1:13" ht="12.75">
      <c r="A44" t="s">
        <v>137</v>
      </c>
      <c r="B44">
        <v>0</v>
      </c>
      <c r="C44">
        <v>1</v>
      </c>
      <c r="D44">
        <v>2</v>
      </c>
      <c r="E44">
        <v>3</v>
      </c>
      <c r="F44">
        <v>4</v>
      </c>
      <c r="H44" t="s">
        <v>137</v>
      </c>
      <c r="I44">
        <v>0</v>
      </c>
      <c r="J44">
        <v>1</v>
      </c>
      <c r="K44">
        <v>2</v>
      </c>
      <c r="L44">
        <v>3</v>
      </c>
      <c r="M44">
        <v>4</v>
      </c>
    </row>
    <row r="45" spans="1:13" ht="12.75">
      <c r="A45" t="s">
        <v>138</v>
      </c>
      <c r="B45">
        <v>0</v>
      </c>
      <c r="C45" s="1">
        <f>SUM(C23)</f>
        <v>20973.378273785238</v>
      </c>
      <c r="D45" s="1">
        <f>SUM(D23:D24)</f>
        <v>41867.554542080245</v>
      </c>
      <c r="E45" s="1">
        <f>SUM(E23:E25)</f>
        <v>62682.759686607256</v>
      </c>
      <c r="F45" s="1">
        <f>SUM(F23:F26)</f>
        <v>83419.22397478833</v>
      </c>
      <c r="H45" t="s">
        <v>139</v>
      </c>
      <c r="I45" s="1">
        <f>SUM(I13:I22)</f>
        <v>210012.8386113911</v>
      </c>
      <c r="J45" s="1">
        <f>SUM(J23)</f>
        <v>20973.078273785242</v>
      </c>
      <c r="K45" s="1">
        <f>SUM(K23:K24)</f>
        <v>41866.65607788598</v>
      </c>
      <c r="L45" s="1">
        <f>SUM(L23:L25)</f>
        <v>62680.965824465005</v>
      </c>
      <c r="M45" s="1">
        <f>SUM(M23:M26)</f>
        <v>83416.23930603582</v>
      </c>
    </row>
    <row r="46" spans="1:13" ht="12.75">
      <c r="A46" t="s">
        <v>140</v>
      </c>
      <c r="B46">
        <v>0</v>
      </c>
      <c r="C46" s="1">
        <f>C45*$K$5</f>
        <v>38.088819584534974</v>
      </c>
      <c r="D46" s="1">
        <f>D45*($K$5)-C46*(1-$F$5)*$K$5</f>
        <v>75.96480181848091</v>
      </c>
      <c r="E46" s="1">
        <f>E45*$K$5-D46*(1-$F$5)*$K$5</f>
        <v>113.69775368485172</v>
      </c>
      <c r="F46" s="1">
        <f>F45*$K$5-E46*(1-$F$5)*$K$5</f>
        <v>151.28796689899974</v>
      </c>
      <c r="H46" t="s">
        <v>141</v>
      </c>
      <c r="J46" s="1">
        <f>J45*$K$5-I22*$K$4*(1-$F$4)*$K$5</f>
        <v>35.9463936905913</v>
      </c>
      <c r="K46" s="1">
        <f>K45*$K$5-J46*(1-$F$5)*$K$5</f>
        <v>75.96705139914394</v>
      </c>
      <c r="L46" s="1">
        <f>L45*$K$5-K46*(1-$F$5)*$K$5</f>
        <v>113.69449185622503</v>
      </c>
      <c r="M46" s="1">
        <f>M45*$K$5-L46*(1-$F$5)*$K$5</f>
        <v>151.2825524839717</v>
      </c>
    </row>
    <row r="48" spans="1:13" ht="12.75">
      <c r="A48" t="s">
        <v>142</v>
      </c>
      <c r="B48" s="1">
        <f>B46*($B$43/$B$42)*(1-EXP(-$B$42*($E$5-B44)))*EXP(-$B$42*B44)</f>
        <v>0</v>
      </c>
      <c r="C48" s="1">
        <f>C46*($B$43/$B$42)*(1-EXP(-$B$42*($E$5-C44)))*EXP(-$B$42*C44)</f>
        <v>431.10845078984823</v>
      </c>
      <c r="D48" s="1">
        <f>D46*($B$43/$B$42)*(1-EXP(-$B$42*($E$5-D44)))*EXP(-$B$42*D44)</f>
        <v>826.1825805619003</v>
      </c>
      <c r="E48" s="1">
        <f>E46*($B$43/$B$42)*(1-EXP(-$B$42*($E$5-E44)))*EXP(-$B$42*E44)</f>
        <v>1187.7207381843962</v>
      </c>
      <c r="F48" s="1">
        <f>F46*($B$43/$B$42)*(1-EXP(-$B$42*($E$5-F44)))*EXP(-$B$42*F44)</f>
        <v>1517.332555028752</v>
      </c>
      <c r="H48" t="s">
        <v>142</v>
      </c>
      <c r="I48" s="1">
        <f>I46*($I$43/$I$42)*(1-EXP(-$I$42*($E$5-5)))*EXP(-$I$42*I44)</f>
        <v>0</v>
      </c>
      <c r="J48" s="1">
        <f>J46*($I$43/$I$42)*(1-EXP(-$I$42*($E$5-J44)))*EXP(-$I$42*J44)</f>
        <v>406.8593950788877</v>
      </c>
      <c r="K48" s="1">
        <f>K46*($I$43/$I$42)*(1-EXP(-$I$42*($E$5-K44)))*EXP(-$I$42*K44)</f>
        <v>826.2070466871698</v>
      </c>
      <c r="L48" s="1">
        <f>L46*($I$43/$I$42)*(1-EXP(-$I$42*($E$5-L44)))*EXP(-$I$42*L44)</f>
        <v>1187.686664147058</v>
      </c>
      <c r="M48" s="1">
        <f>M46*($I$43/$I$42)*(1-EXP(-$I$42*($E$5-M44)))*EXP(-$I$42*M44)</f>
        <v>1517.2782515150166</v>
      </c>
    </row>
    <row r="50" spans="1:9" ht="12.75">
      <c r="A50" t="s">
        <v>143</v>
      </c>
      <c r="B50" s="1">
        <f>SUM(B48:F48)</f>
        <v>3962.3443245648964</v>
      </c>
      <c r="H50" t="s">
        <v>143</v>
      </c>
      <c r="I50" s="1">
        <f>SUM(I48:M48)</f>
        <v>3938.031357428132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1">
      <selection activeCell="A11" sqref="A11"/>
    </sheetView>
  </sheetViews>
  <sheetFormatPr defaultColWidth="9.140625" defaultRowHeight="12.75"/>
  <cols>
    <col min="2" max="2" width="14.140625" style="0" customWidth="1"/>
    <col min="3" max="4" width="12.7109375" style="0" customWidth="1"/>
    <col min="5" max="5" width="15.57421875" style="0" customWidth="1"/>
    <col min="6" max="6" width="12.57421875" style="0" customWidth="1"/>
    <col min="7" max="7" width="14.28125" style="0" customWidth="1"/>
    <col min="8" max="8" width="18.00390625" style="0" customWidth="1"/>
    <col min="9" max="9" width="11.00390625" style="0" customWidth="1"/>
  </cols>
  <sheetData>
    <row r="1" ht="12.75">
      <c r="A1" s="6" t="s">
        <v>144</v>
      </c>
    </row>
    <row r="3" spans="1:10" ht="12.75">
      <c r="A3" s="6" t="s">
        <v>73</v>
      </c>
      <c r="B3" t="s">
        <v>98</v>
      </c>
      <c r="C3" t="s">
        <v>99</v>
      </c>
      <c r="D3" t="s">
        <v>100</v>
      </c>
      <c r="E3" t="s">
        <v>101</v>
      </c>
      <c r="F3" t="s">
        <v>102</v>
      </c>
      <c r="G3" t="s">
        <v>103</v>
      </c>
      <c r="H3" s="29" t="s">
        <v>104</v>
      </c>
      <c r="I3" s="35"/>
      <c r="J3" s="36"/>
    </row>
    <row r="4" spans="1:8" ht="12.75">
      <c r="A4" t="s">
        <v>27</v>
      </c>
      <c r="B4">
        <v>288542308.48217005</v>
      </c>
      <c r="C4">
        <v>5408748.102951502</v>
      </c>
      <c r="D4" s="1">
        <f>C4/B4</f>
        <v>0.01874507808370753</v>
      </c>
      <c r="E4">
        <v>273872674.2338778</v>
      </c>
      <c r="F4">
        <v>5124635.721738288</v>
      </c>
      <c r="G4" s="1">
        <f>F4/E4</f>
        <v>0.01871174528847674</v>
      </c>
      <c r="H4" s="1">
        <f>(F4+C4)/(E4+B4)</f>
        <v>0.018728846400608585</v>
      </c>
    </row>
    <row r="5" spans="1:8" ht="12.75">
      <c r="A5" t="s">
        <v>28</v>
      </c>
      <c r="B5">
        <v>563533459.4480197</v>
      </c>
      <c r="C5">
        <v>733096.1733342865</v>
      </c>
      <c r="D5" s="1">
        <f>C5/B5</f>
        <v>0.0013008920074636797</v>
      </c>
      <c r="E5">
        <v>533063800.9830508</v>
      </c>
      <c r="F5">
        <v>739679.0162975932</v>
      </c>
      <c r="G5" s="1">
        <f>F5/E5</f>
        <v>0.0013875994110526966</v>
      </c>
      <c r="H5" s="1">
        <f>(F5+C5)/(E5+B5)</f>
        <v>0.0013430410988378124</v>
      </c>
    </row>
    <row r="6" spans="1:8" ht="12.75">
      <c r="A6" t="s">
        <v>74</v>
      </c>
      <c r="B6">
        <v>712483352.6871971</v>
      </c>
      <c r="C6">
        <v>1836205.9573630895</v>
      </c>
      <c r="D6" s="1">
        <f>C6/B6</f>
        <v>0.0025771913834023888</v>
      </c>
      <c r="E6">
        <v>682001901.8406873</v>
      </c>
      <c r="F6">
        <v>1576873.4662242448</v>
      </c>
      <c r="G6" s="1">
        <f>F6/E6</f>
        <v>0.002312124734503447</v>
      </c>
      <c r="H6" s="1">
        <f>(F6+C6)/(E6+B6)</f>
        <v>0.0024475550476457802</v>
      </c>
    </row>
    <row r="7" spans="1:8" ht="12.75">
      <c r="A7" t="s">
        <v>75</v>
      </c>
      <c r="B7">
        <v>545730344.9254156</v>
      </c>
      <c r="C7">
        <v>2787365.9768162295</v>
      </c>
      <c r="D7" s="1">
        <f>C7/B7</f>
        <v>0.005107588395505432</v>
      </c>
      <c r="E7">
        <v>530066234.76145345</v>
      </c>
      <c r="F7">
        <v>1832009.771725459</v>
      </c>
      <c r="G7" s="1">
        <f>F7/E7</f>
        <v>0.0034561902863892496</v>
      </c>
      <c r="H7" s="1">
        <f>(F7+C7)/(E7+B7)</f>
        <v>0.004293911912125845</v>
      </c>
    </row>
    <row r="8" spans="1:8" ht="12.75">
      <c r="A8" t="s">
        <v>76</v>
      </c>
      <c r="B8">
        <v>326641805.37363654</v>
      </c>
      <c r="C8">
        <v>4000494.487111969</v>
      </c>
      <c r="D8" s="1">
        <f>C8/B8</f>
        <v>0.012247343791575955</v>
      </c>
      <c r="E8">
        <v>325975578.8211664</v>
      </c>
      <c r="F8">
        <v>2522656.16729859</v>
      </c>
      <c r="G8" s="1">
        <f>F8/E8</f>
        <v>0.007738788827130346</v>
      </c>
      <c r="H8" s="1">
        <f>(F8+C8)/(E8+B8)</f>
        <v>0.00999536759576026</v>
      </c>
    </row>
    <row r="9" spans="1:8" ht="12.75">
      <c r="A9" t="s">
        <v>77</v>
      </c>
      <c r="B9">
        <v>124177352.66161102</v>
      </c>
      <c r="C9">
        <v>4071103.487029113</v>
      </c>
      <c r="D9" s="1">
        <f>C9/B9</f>
        <v>0.03278458913617732</v>
      </c>
      <c r="E9">
        <v>135617536.04277748</v>
      </c>
      <c r="F9">
        <v>2961281.2634461205</v>
      </c>
      <c r="G9" s="1">
        <f>F9/E9</f>
        <v>0.02183553358845903</v>
      </c>
      <c r="H9" s="1">
        <f>(F9+C9)/(E9+B9)</f>
        <v>0.027068988098827216</v>
      </c>
    </row>
    <row r="10" spans="1:8" ht="12.75">
      <c r="A10" t="s">
        <v>78</v>
      </c>
      <c r="B10">
        <v>61357004.97429729</v>
      </c>
      <c r="C10">
        <v>4377940.206541818</v>
      </c>
      <c r="D10" s="1">
        <f>C10/B10</f>
        <v>0.07135192156748452</v>
      </c>
      <c r="E10">
        <v>78446465.19332378</v>
      </c>
      <c r="F10">
        <v>4320935.600882046</v>
      </c>
      <c r="G10" s="1">
        <f>F10/E10</f>
        <v>0.05508132954408482</v>
      </c>
      <c r="H10" s="1">
        <f>(F10+C10)/(E10+B10)</f>
        <v>0.06222217371996643</v>
      </c>
    </row>
    <row r="11" spans="1:8" ht="12.75">
      <c r="A11" t="s">
        <v>79</v>
      </c>
      <c r="B11">
        <v>14804195.515845142</v>
      </c>
      <c r="C11">
        <v>2351163.5957330875</v>
      </c>
      <c r="D11" s="1">
        <f>C11/B11</f>
        <v>0.15881738343813437</v>
      </c>
      <c r="E11">
        <v>25258473.060396336</v>
      </c>
      <c r="F11">
        <v>3732425.61849552</v>
      </c>
      <c r="G11" s="1">
        <f>F11/E11</f>
        <v>0.14776924992935236</v>
      </c>
      <c r="H11" s="1">
        <f>(F11+C11)/(E11+B11)</f>
        <v>0.15185182191873214</v>
      </c>
    </row>
    <row r="13" spans="1:8" ht="12.75">
      <c r="A13" s="6" t="s">
        <v>8</v>
      </c>
      <c r="B13" t="s">
        <v>98</v>
      </c>
      <c r="C13" t="s">
        <v>99</v>
      </c>
      <c r="D13" t="s">
        <v>100</v>
      </c>
      <c r="E13" t="s">
        <v>101</v>
      </c>
      <c r="F13" t="s">
        <v>102</v>
      </c>
      <c r="G13" t="s">
        <v>103</v>
      </c>
      <c r="H13" s="29" t="s">
        <v>104</v>
      </c>
    </row>
    <row r="14" spans="1:8" ht="12.75">
      <c r="A14" t="s">
        <v>27</v>
      </c>
      <c r="B14">
        <v>80388438.90210456</v>
      </c>
      <c r="C14">
        <v>702921.1833290039</v>
      </c>
      <c r="D14" s="1">
        <f>C14/B14</f>
        <v>0.008744058137327525</v>
      </c>
      <c r="E14">
        <v>74245748.63043298</v>
      </c>
      <c r="F14">
        <v>698542.2936449542</v>
      </c>
      <c r="G14" s="1">
        <f>F14/E14</f>
        <v>0.009408515726900827</v>
      </c>
      <c r="H14" s="1">
        <f>(F14+C14)/(E14+B14)</f>
        <v>0.009063089471589635</v>
      </c>
    </row>
    <row r="15" spans="1:8" ht="12.75">
      <c r="A15" t="s">
        <v>28</v>
      </c>
      <c r="B15">
        <v>175062501.51205096</v>
      </c>
      <c r="C15">
        <v>120900.67899581091</v>
      </c>
      <c r="D15" s="1">
        <f>C15/B15</f>
        <v>0.0006906143688772113</v>
      </c>
      <c r="E15">
        <v>161562793.09266028</v>
      </c>
      <c r="F15">
        <v>98463.1099496705</v>
      </c>
      <c r="G15" s="1">
        <f>F15/E15</f>
        <v>0.0006094417412875467</v>
      </c>
      <c r="H15" s="1">
        <f>(F15+C15)/(E15+B15)</f>
        <v>0.0006516556909458441</v>
      </c>
    </row>
    <row r="16" spans="1:8" ht="12.75">
      <c r="A16" t="s">
        <v>74</v>
      </c>
      <c r="B16">
        <v>244391595.80734342</v>
      </c>
      <c r="C16">
        <v>417169.83813701104</v>
      </c>
      <c r="D16" s="1">
        <f>C16/B16</f>
        <v>0.0017069729290767864</v>
      </c>
      <c r="E16">
        <v>232394189.27574575</v>
      </c>
      <c r="F16">
        <v>220486.9012798923</v>
      </c>
      <c r="G16" s="1">
        <f>F16/E16</f>
        <v>0.0009487625399199421</v>
      </c>
      <c r="H16" s="1">
        <f>(F16+C16)/(E16+B16)</f>
        <v>0.0013374071949434887</v>
      </c>
    </row>
    <row r="17" spans="1:8" ht="12.75">
      <c r="A17" t="s">
        <v>75</v>
      </c>
      <c r="B17">
        <v>224677983.98210356</v>
      </c>
      <c r="C17">
        <v>625576.7773717307</v>
      </c>
      <c r="D17" s="1">
        <f>C17/B17</f>
        <v>0.002784326111015667</v>
      </c>
      <c r="E17">
        <v>216964800.32210344</v>
      </c>
      <c r="F17">
        <v>408808.4071906423</v>
      </c>
      <c r="G17" s="1">
        <f>F17/E17</f>
        <v>0.0018842153500647574</v>
      </c>
      <c r="H17" s="1">
        <f>(F17+C17)/(E17+B17)</f>
        <v>0.0023421308381433455</v>
      </c>
    </row>
    <row r="18" spans="1:8" ht="12.75">
      <c r="A18" t="s">
        <v>76</v>
      </c>
      <c r="B18">
        <v>136430736.78649408</v>
      </c>
      <c r="C18">
        <v>1183692.7272522068</v>
      </c>
      <c r="D18" s="1">
        <f>C18/B18</f>
        <v>0.008676144064988924</v>
      </c>
      <c r="E18">
        <v>131069748.43700615</v>
      </c>
      <c r="F18">
        <v>748532.2793377833</v>
      </c>
      <c r="G18" s="1">
        <f>F18/E18</f>
        <v>0.005710946181433604</v>
      </c>
      <c r="H18" s="1">
        <f>(F18+C18)/(E18+B18)</f>
        <v>0.007223257950263493</v>
      </c>
    </row>
    <row r="19" spans="1:8" ht="12.75">
      <c r="A19" t="s">
        <v>77</v>
      </c>
      <c r="B19">
        <v>51374082.507158026</v>
      </c>
      <c r="C19">
        <v>1389572.7958951183</v>
      </c>
      <c r="D19" s="1">
        <f>C19/B19</f>
        <v>0.02704812870772937</v>
      </c>
      <c r="E19">
        <v>51835125.397962786</v>
      </c>
      <c r="F19">
        <v>937094.8115986725</v>
      </c>
      <c r="G19" s="1">
        <f>F19/E19</f>
        <v>0.018078374546297557</v>
      </c>
      <c r="H19" s="1">
        <f>(F19+C19)/(E19+B19)</f>
        <v>0.022543217361310174</v>
      </c>
    </row>
    <row r="20" spans="1:8" ht="12.75">
      <c r="A20" t="s">
        <v>78</v>
      </c>
      <c r="B20">
        <v>25008673.311062533</v>
      </c>
      <c r="C20">
        <v>1621136.0453657117</v>
      </c>
      <c r="D20" s="1">
        <f>C20/B20</f>
        <v>0.06482295262934262</v>
      </c>
      <c r="E20">
        <v>29847996.386955835</v>
      </c>
      <c r="F20">
        <v>1531870.9368240796</v>
      </c>
      <c r="G20" s="1">
        <f>F20/E20</f>
        <v>0.051322404256707074</v>
      </c>
      <c r="H20" s="1">
        <f>(F20+C20)/(E20+B20)</f>
        <v>0.05747718553727095</v>
      </c>
    </row>
    <row r="21" spans="1:8" ht="12.75">
      <c r="A21" t="s">
        <v>79</v>
      </c>
      <c r="B21">
        <v>5657149.563835515</v>
      </c>
      <c r="C21">
        <v>897040.0404996481</v>
      </c>
      <c r="D21" s="1">
        <f>C21/B21</f>
        <v>0.15856749594074018</v>
      </c>
      <c r="E21">
        <v>9863801.087501334</v>
      </c>
      <c r="F21">
        <v>1493819.4216270722</v>
      </c>
      <c r="G21" s="1">
        <f>F21/E21</f>
        <v>0.15144460116089806</v>
      </c>
      <c r="H21" s="1">
        <f>(F21+C21)/(E21+B21)</f>
        <v>0.15404078756740272</v>
      </c>
    </row>
    <row r="23" spans="1:8" ht="12.75">
      <c r="A23" s="6" t="s">
        <v>51</v>
      </c>
      <c r="B23" t="s">
        <v>98</v>
      </c>
      <c r="C23" t="s">
        <v>99</v>
      </c>
      <c r="D23" t="s">
        <v>100</v>
      </c>
      <c r="E23" t="s">
        <v>101</v>
      </c>
      <c r="F23" t="s">
        <v>102</v>
      </c>
      <c r="G23" t="s">
        <v>103</v>
      </c>
      <c r="H23" s="29" t="s">
        <v>104</v>
      </c>
    </row>
    <row r="24" spans="1:8" ht="12.75">
      <c r="A24" t="s">
        <v>27</v>
      </c>
      <c r="B24">
        <v>15083624.601876475</v>
      </c>
      <c r="C24">
        <v>96932.63097757101</v>
      </c>
      <c r="D24" s="1">
        <f>C24/B24</f>
        <v>0.006426348675205834</v>
      </c>
      <c r="E24">
        <v>14397366.647323012</v>
      </c>
      <c r="F24">
        <v>77165.62827184796</v>
      </c>
      <c r="G24" s="1">
        <f>F24/E24</f>
        <v>0.005359704323859518</v>
      </c>
      <c r="H24" s="1">
        <f>(F24+C24)/(E24+B24)</f>
        <v>0.005905441163011992</v>
      </c>
    </row>
    <row r="25" spans="1:8" ht="12.75">
      <c r="A25" t="s">
        <v>28</v>
      </c>
      <c r="B25">
        <v>37984511.989610344</v>
      </c>
      <c r="C25">
        <v>21063.39061588049</v>
      </c>
      <c r="D25" s="1">
        <f>C25/B25</f>
        <v>0.0005545257662291889</v>
      </c>
      <c r="E25">
        <v>36427137.32695699</v>
      </c>
      <c r="F25">
        <v>13215.911306530237</v>
      </c>
      <c r="G25" s="1">
        <f>F25/E25</f>
        <v>0.00036280400482499993</v>
      </c>
      <c r="H25" s="1">
        <f>(F25+C25)/(E25+B25)</f>
        <v>0.0004606711749739249</v>
      </c>
    </row>
    <row r="26" spans="1:8" ht="12.75">
      <c r="A26" t="s">
        <v>74</v>
      </c>
      <c r="B26">
        <v>59357095.64240669</v>
      </c>
      <c r="C26">
        <v>148343.08452510834</v>
      </c>
      <c r="D26" s="1">
        <f>C26/B26</f>
        <v>0.0024991634600653725</v>
      </c>
      <c r="E26">
        <v>57701617.30099451</v>
      </c>
      <c r="F26">
        <v>45911.23222976923</v>
      </c>
      <c r="G26" s="1">
        <f>F26/E26</f>
        <v>0.0007956662980567432</v>
      </c>
      <c r="H26" s="1">
        <f>(F26+C26)/(E26+B26)</f>
        <v>0.0016594605550532668</v>
      </c>
    </row>
    <row r="27" spans="1:8" ht="12.75">
      <c r="A27" t="s">
        <v>75</v>
      </c>
      <c r="B27">
        <v>51489336.27308546</v>
      </c>
      <c r="C27">
        <v>323449.39925956726</v>
      </c>
      <c r="D27" s="1">
        <f>C27/B27</f>
        <v>0.006281871600443235</v>
      </c>
      <c r="E27">
        <v>51881072.13417533</v>
      </c>
      <c r="F27">
        <v>104656.18456709385</v>
      </c>
      <c r="G27" s="1">
        <f>F27/E27</f>
        <v>0.0020172324946645475</v>
      </c>
      <c r="H27" s="1">
        <f>(F27+C27)/(E27+B27)</f>
        <v>0.0041414713400376845</v>
      </c>
    </row>
    <row r="28" spans="1:8" ht="12.75">
      <c r="A28" t="s">
        <v>76</v>
      </c>
      <c r="B28">
        <v>37100271.621840246</v>
      </c>
      <c r="C28">
        <v>619344.7496061325</v>
      </c>
      <c r="D28" s="1">
        <f>C28/B28</f>
        <v>0.016693806339723283</v>
      </c>
      <c r="E28">
        <v>40994596.26942964</v>
      </c>
      <c r="F28">
        <v>257055.60248422623</v>
      </c>
      <c r="G28" s="1">
        <f>F28/E28</f>
        <v>0.006270475279102015</v>
      </c>
      <c r="H28" s="1">
        <f>(F28+C28)/(E28+B28)</f>
        <v>0.011222252828579663</v>
      </c>
    </row>
    <row r="29" spans="1:8" ht="12.75">
      <c r="A29" t="s">
        <v>77</v>
      </c>
      <c r="B29">
        <v>17205130.679240886</v>
      </c>
      <c r="C29">
        <v>707308.8153972626</v>
      </c>
      <c r="D29" s="1">
        <f>C29/B29</f>
        <v>0.041110342524202786</v>
      </c>
      <c r="E29">
        <v>23173539.46214377</v>
      </c>
      <c r="F29">
        <v>434315.6422996521</v>
      </c>
      <c r="G29" s="1">
        <f>F29/E29</f>
        <v>0.018741877692406414</v>
      </c>
      <c r="H29" s="1">
        <f>(F29+C29)/(E29+B29)</f>
        <v>0.028272958314366273</v>
      </c>
    </row>
    <row r="30" spans="1:8" ht="12.75">
      <c r="A30" t="s">
        <v>78</v>
      </c>
      <c r="B30">
        <v>9358569.929494256</v>
      </c>
      <c r="C30">
        <v>719639.5723228455</v>
      </c>
      <c r="D30" s="1">
        <f>C30/B30</f>
        <v>0.07689631832047819</v>
      </c>
      <c r="E30">
        <v>17126155.448098503</v>
      </c>
      <c r="F30">
        <v>845408.5914649963</v>
      </c>
      <c r="G30" s="1">
        <f>F30/E30</f>
        <v>0.04936359441714988</v>
      </c>
      <c r="H30" s="1">
        <f>(F30+C30)/(E30+B30)</f>
        <v>0.05909248223173729</v>
      </c>
    </row>
    <row r="31" spans="1:8" ht="12.75">
      <c r="A31" t="s">
        <v>79</v>
      </c>
      <c r="B31">
        <v>2046813.0230306527</v>
      </c>
      <c r="C31">
        <v>348477.06896209717</v>
      </c>
      <c r="D31" s="1">
        <f>C31/B31</f>
        <v>0.17025349411062374</v>
      </c>
      <c r="E31">
        <v>5863197.650493262</v>
      </c>
      <c r="F31">
        <v>906986.0221138</v>
      </c>
      <c r="G31" s="1">
        <f>F31/E31</f>
        <v>0.15469136061573782</v>
      </c>
      <c r="H31" s="1">
        <f>(F31+C31)/(E31+B31)</f>
        <v>0.1587182549927695</v>
      </c>
    </row>
    <row r="33" spans="1:8" ht="12.75">
      <c r="A33" s="6" t="s">
        <v>9</v>
      </c>
      <c r="B33" t="s">
        <v>98</v>
      </c>
      <c r="C33" t="s">
        <v>99</v>
      </c>
      <c r="D33" t="s">
        <v>100</v>
      </c>
      <c r="E33" t="s">
        <v>101</v>
      </c>
      <c r="F33" t="s">
        <v>102</v>
      </c>
      <c r="G33" t="s">
        <v>103</v>
      </c>
      <c r="H33" s="29" t="s">
        <v>104</v>
      </c>
    </row>
    <row r="34" spans="1:8" ht="12.75">
      <c r="A34" t="s">
        <v>27</v>
      </c>
      <c r="B34">
        <v>28461303.382915188</v>
      </c>
      <c r="C34">
        <v>226390.2552012205</v>
      </c>
      <c r="D34" s="1">
        <f>C34/B34</f>
        <v>0.00795431790861407</v>
      </c>
      <c r="E34">
        <v>27367203.638532817</v>
      </c>
      <c r="F34">
        <v>180822.50367808342</v>
      </c>
      <c r="G34" s="1">
        <f>F34/E34</f>
        <v>0.006607270003409727</v>
      </c>
      <c r="H34" s="1">
        <f>(F34+C34)/(E34+B34)</f>
        <v>0.00729399334864646</v>
      </c>
    </row>
    <row r="35" spans="1:8" ht="12.75">
      <c r="A35" t="s">
        <v>28</v>
      </c>
      <c r="B35">
        <v>55839284.90264286</v>
      </c>
      <c r="C35">
        <v>29815.617331922054</v>
      </c>
      <c r="D35" s="1">
        <f>C35/B35</f>
        <v>0.0005339541397048029</v>
      </c>
      <c r="E35">
        <v>53876622.2591507</v>
      </c>
      <c r="F35">
        <v>22923.897376954556</v>
      </c>
      <c r="G35" s="1">
        <f>F35/E35</f>
        <v>0.0004254887633209232</v>
      </c>
      <c r="H35" s="1">
        <f>(F35+C35)/(E35+B35)</f>
        <v>0.00048069159771977097</v>
      </c>
    </row>
    <row r="36" spans="1:8" ht="12.75">
      <c r="A36" t="s">
        <v>74</v>
      </c>
      <c r="B36">
        <v>73715963.91922377</v>
      </c>
      <c r="C36">
        <v>177503.74907326698</v>
      </c>
      <c r="D36" s="1">
        <f>C36/B36</f>
        <v>0.002407941775919412</v>
      </c>
      <c r="E36">
        <v>73282381.0772574</v>
      </c>
      <c r="F36">
        <v>65532.72648847103</v>
      </c>
      <c r="G36" s="1">
        <f>F36/E36</f>
        <v>0.0008942494160961234</v>
      </c>
      <c r="H36" s="1">
        <f>(F36+C36)/(E36+B36)</f>
        <v>0.0016533279716010121</v>
      </c>
    </row>
    <row r="37" spans="1:8" ht="12.75">
      <c r="A37" t="s">
        <v>75</v>
      </c>
      <c r="B37">
        <v>52466930.02363796</v>
      </c>
      <c r="C37">
        <v>211192.6055970192</v>
      </c>
      <c r="D37" s="1">
        <f>C37/B37</f>
        <v>0.004025251820563362</v>
      </c>
      <c r="E37">
        <v>54789914.16315369</v>
      </c>
      <c r="F37">
        <v>104215.28477549553</v>
      </c>
      <c r="G37" s="1">
        <f>F37/E37</f>
        <v>0.001902088849147723</v>
      </c>
      <c r="H37" s="1">
        <f>(F37+C37)/(E37+B37)</f>
        <v>0.0029406784505352454</v>
      </c>
    </row>
    <row r="38" spans="1:8" ht="12.75">
      <c r="A38" t="s">
        <v>76</v>
      </c>
      <c r="B38">
        <v>30779326.538708817</v>
      </c>
      <c r="C38">
        <v>287905.8419480324</v>
      </c>
      <c r="D38" s="1">
        <f>C38/B38</f>
        <v>0.009353870741322268</v>
      </c>
      <c r="E38">
        <v>32941617.541418206</v>
      </c>
      <c r="F38">
        <v>184840.17863082886</v>
      </c>
      <c r="G38" s="1">
        <f>F38/E38</f>
        <v>0.005611144577172791</v>
      </c>
      <c r="H38" s="1">
        <f>(F38+C38)/(E38+B38)</f>
        <v>0.007419005280028469</v>
      </c>
    </row>
    <row r="39" spans="1:8" ht="12.75">
      <c r="A39" t="s">
        <v>77</v>
      </c>
      <c r="B39">
        <v>11161240.534956194</v>
      </c>
      <c r="C39">
        <v>276340.44969558716</v>
      </c>
      <c r="D39" s="1">
        <f>C39/B39</f>
        <v>0.02475893686101549</v>
      </c>
      <c r="E39">
        <v>12748957.746710975</v>
      </c>
      <c r="F39">
        <v>205977.9166765213</v>
      </c>
      <c r="G39" s="1">
        <f>F39/E39</f>
        <v>0.016156451434601413</v>
      </c>
      <c r="H39" s="1">
        <f>(F39+C39)/(E39+B39)</f>
        <v>0.02017207723207882</v>
      </c>
    </row>
    <row r="40" spans="1:8" ht="12.75">
      <c r="A40" t="s">
        <v>78</v>
      </c>
      <c r="B40">
        <v>5973731.114023524</v>
      </c>
      <c r="C40">
        <v>335856.2990055084</v>
      </c>
      <c r="D40" s="1">
        <f>C40/B40</f>
        <v>0.05622219892306084</v>
      </c>
      <c r="E40">
        <v>7628565.551009175</v>
      </c>
      <c r="F40">
        <v>294055.89901161194</v>
      </c>
      <c r="G40" s="1">
        <f>F40/E40</f>
        <v>0.038546683127434304</v>
      </c>
      <c r="H40" s="1">
        <f>(F40+C40)/(E40+B40)</f>
        <v>0.04630925302757364</v>
      </c>
    </row>
    <row r="41" spans="1:8" ht="12.75">
      <c r="A41" t="s">
        <v>79</v>
      </c>
      <c r="B41">
        <v>1986546.3297005054</v>
      </c>
      <c r="C41">
        <v>288166.9516849518</v>
      </c>
      <c r="D41" s="1">
        <f>C41/B41</f>
        <v>0.1450592656091722</v>
      </c>
      <c r="E41">
        <v>3117935.2770582167</v>
      </c>
      <c r="F41">
        <v>385793.28237342834</v>
      </c>
      <c r="G41" s="1">
        <f>F41/E41</f>
        <v>0.12373357625865336</v>
      </c>
      <c r="H41" s="1">
        <f>(F41+C41)/(E41+B41)</f>
        <v>0.13203304193828527</v>
      </c>
    </row>
    <row r="43" spans="1:8" ht="12.75">
      <c r="A43" s="6" t="s">
        <v>83</v>
      </c>
      <c r="B43" t="s">
        <v>98</v>
      </c>
      <c r="C43" t="s">
        <v>99</v>
      </c>
      <c r="D43" t="s">
        <v>100</v>
      </c>
      <c r="E43" t="s">
        <v>101</v>
      </c>
      <c r="F43" t="s">
        <v>102</v>
      </c>
      <c r="G43" t="s">
        <v>103</v>
      </c>
      <c r="H43" s="29" t="s">
        <v>104</v>
      </c>
    </row>
    <row r="44" spans="1:8" ht="12.75">
      <c r="A44" t="s">
        <v>27</v>
      </c>
      <c r="B44">
        <v>19047895</v>
      </c>
      <c r="C44">
        <v>231425.35301280022</v>
      </c>
      <c r="D44" s="1">
        <f>C44/B44</f>
        <v>0.012149655015044981</v>
      </c>
      <c r="E44">
        <v>18232809</v>
      </c>
      <c r="F44">
        <v>199109.94975221157</v>
      </c>
      <c r="G44" s="1">
        <f>F44/E44</f>
        <v>0.01092042097036236</v>
      </c>
      <c r="H44" s="1">
        <f>(F44+C44)/(E44+B44)</f>
        <v>0.011548475660894487</v>
      </c>
    </row>
    <row r="45" spans="1:8" ht="12.75">
      <c r="A45" t="s">
        <v>28</v>
      </c>
      <c r="B45">
        <v>38598111</v>
      </c>
      <c r="C45">
        <v>33439.97160899639</v>
      </c>
      <c r="D45" s="1">
        <f>C45/B45</f>
        <v>0.0008663629059203542</v>
      </c>
      <c r="E45">
        <v>36900076</v>
      </c>
      <c r="F45">
        <v>25166.001183867455</v>
      </c>
      <c r="G45" s="1">
        <f>F45/E45</f>
        <v>0.0006820040474677466</v>
      </c>
      <c r="H45" s="1">
        <f>(F45+C45)/(E45+B45)</f>
        <v>0.0007762566906787291</v>
      </c>
    </row>
    <row r="46" spans="1:8" ht="12.75">
      <c r="A46" t="s">
        <v>74</v>
      </c>
      <c r="B46">
        <v>46894925</v>
      </c>
      <c r="C46">
        <v>77575.27921319008</v>
      </c>
      <c r="D46" s="1">
        <f>C46/B46</f>
        <v>0.001654236129244051</v>
      </c>
      <c r="E46">
        <v>45059846</v>
      </c>
      <c r="F46">
        <v>44045.83570051193</v>
      </c>
      <c r="G46" s="1">
        <f>F46/E46</f>
        <v>0.000977496365622553</v>
      </c>
      <c r="H46" s="1">
        <f>(F46+C46)/(E46+B46)</f>
        <v>0.001322618865678019</v>
      </c>
    </row>
    <row r="47" spans="1:8" ht="12.75">
      <c r="A47" t="s">
        <v>75</v>
      </c>
      <c r="B47">
        <v>28733889</v>
      </c>
      <c r="C47">
        <v>85244.699634552</v>
      </c>
      <c r="D47" s="1">
        <f>C47/B47</f>
        <v>0.0029666955153391174</v>
      </c>
      <c r="E47">
        <v>27647730</v>
      </c>
      <c r="F47">
        <v>55966.16719508171</v>
      </c>
      <c r="G47" s="1">
        <f>F47/E47</f>
        <v>0.002024259033023026</v>
      </c>
      <c r="H47" s="1">
        <f>(F47+C47)/(E47+B47)</f>
        <v>0.0025045550187133454</v>
      </c>
    </row>
    <row r="48" spans="1:8" ht="12.75">
      <c r="A48" t="s">
        <v>76</v>
      </c>
      <c r="B48">
        <v>15136909</v>
      </c>
      <c r="C48">
        <v>158490.7688407898</v>
      </c>
      <c r="D48" s="1">
        <f>C48/B48</f>
        <v>0.010470484353231549</v>
      </c>
      <c r="E48">
        <v>15144348</v>
      </c>
      <c r="F48">
        <v>101615.03545761108</v>
      </c>
      <c r="G48" s="1">
        <f>F48/E48</f>
        <v>0.006709766274362626</v>
      </c>
      <c r="H48" s="1">
        <f>(F48+C48)/(E48+B48)</f>
        <v>0.008589663378188062</v>
      </c>
    </row>
    <row r="49" spans="1:8" ht="12.75">
      <c r="A49" t="s">
        <v>77</v>
      </c>
      <c r="B49">
        <v>5368820</v>
      </c>
      <c r="C49">
        <v>172926.77047729492</v>
      </c>
      <c r="D49" s="1">
        <f>C49/B49</f>
        <v>0.03220945579797701</v>
      </c>
      <c r="E49">
        <v>5703748</v>
      </c>
      <c r="F49">
        <v>122151.1097946167</v>
      </c>
      <c r="G49" s="1">
        <f>F49/E49</f>
        <v>0.021415937344114202</v>
      </c>
      <c r="H49" s="1">
        <f>(F49+C49)/(E49+B49)</f>
        <v>0.026649452978921566</v>
      </c>
    </row>
    <row r="50" spans="1:8" ht="12.75">
      <c r="A50" t="s">
        <v>78</v>
      </c>
      <c r="B50">
        <v>2797238</v>
      </c>
      <c r="C50">
        <v>206302.49348449707</v>
      </c>
      <c r="D50" s="1">
        <f>C50/B50</f>
        <v>0.07375221324910396</v>
      </c>
      <c r="E50">
        <v>3084448</v>
      </c>
      <c r="F50">
        <v>174951.37106323242</v>
      </c>
      <c r="G50" s="1">
        <f>F50/E50</f>
        <v>0.05672047998968776</v>
      </c>
      <c r="H50" s="1">
        <f>(F50+C50)/(E50+B50)</f>
        <v>0.06482050632212082</v>
      </c>
    </row>
    <row r="51" spans="1:8" ht="12.75">
      <c r="A51" t="s">
        <v>79</v>
      </c>
      <c r="B51">
        <v>617494.0001000001</v>
      </c>
      <c r="C51">
        <v>102542.96769714355</v>
      </c>
      <c r="D51" s="1">
        <f>C51/B51</f>
        <v>0.1660630996909075</v>
      </c>
      <c r="E51">
        <v>794029.0001000001</v>
      </c>
      <c r="F51">
        <v>123244.2939453125</v>
      </c>
      <c r="G51" s="1">
        <f>F51/E51</f>
        <v>0.15521384474596156</v>
      </c>
      <c r="H51" s="1">
        <f>(F51+C51)/(E51+B51)</f>
        <v>0.159960030130904</v>
      </c>
    </row>
    <row r="53" spans="1:8" ht="12.75">
      <c r="A53" s="6" t="s">
        <v>84</v>
      </c>
      <c r="B53" t="s">
        <v>98</v>
      </c>
      <c r="C53" t="s">
        <v>99</v>
      </c>
      <c r="D53" t="s">
        <v>100</v>
      </c>
      <c r="E53" t="s">
        <v>101</v>
      </c>
      <c r="F53" t="s">
        <v>102</v>
      </c>
      <c r="G53" t="s">
        <v>103</v>
      </c>
      <c r="H53" s="29" t="s">
        <v>104</v>
      </c>
    </row>
    <row r="54" spans="1:8" ht="12.75">
      <c r="A54" t="s">
        <v>27</v>
      </c>
      <c r="B54">
        <v>88338907</v>
      </c>
      <c r="C54">
        <v>1781994.822418213</v>
      </c>
      <c r="D54" s="1">
        <f>C54/B54</f>
        <v>0.020172253460394442</v>
      </c>
      <c r="E54">
        <v>83367085</v>
      </c>
      <c r="F54">
        <v>1830171.338027954</v>
      </c>
      <c r="G54" s="1">
        <f>F54/E54</f>
        <v>0.021953164585614984</v>
      </c>
      <c r="H54" s="1">
        <f>(F54+C54)/(E54+B54)</f>
        <v>0.021036925493235943</v>
      </c>
    </row>
    <row r="55" spans="1:8" ht="12.75">
      <c r="A55" t="s">
        <v>28</v>
      </c>
      <c r="B55">
        <v>164165177</v>
      </c>
      <c r="C55">
        <v>246257.78608608246</v>
      </c>
      <c r="D55" s="1">
        <f>C55/B55</f>
        <v>0.001500061039656921</v>
      </c>
      <c r="E55">
        <v>153550161</v>
      </c>
      <c r="F55">
        <v>288715.7379131317</v>
      </c>
      <c r="G55" s="1">
        <f>F55/E55</f>
        <v>0.0018802698481907272</v>
      </c>
      <c r="H55" s="1">
        <f>(F55+C55)/(E55+B55)</f>
        <v>0.0016838139680848967</v>
      </c>
    </row>
    <row r="56" spans="1:8" ht="12.75">
      <c r="A56" t="s">
        <v>74</v>
      </c>
      <c r="B56">
        <v>194809546</v>
      </c>
      <c r="C56">
        <v>485448.2895498276</v>
      </c>
      <c r="D56" s="1">
        <f>C56/B56</f>
        <v>0.0024919122266720316</v>
      </c>
      <c r="E56">
        <v>179992960</v>
      </c>
      <c r="F56">
        <v>502055.61385154724</v>
      </c>
      <c r="G56" s="1">
        <f>F56/E56</f>
        <v>0.0027893069476247695</v>
      </c>
      <c r="H56" s="1">
        <f>(F56+C56)/(E56+B56)</f>
        <v>0.0026347313254126824</v>
      </c>
    </row>
    <row r="57" spans="1:8" ht="12.75">
      <c r="A57" t="s">
        <v>75</v>
      </c>
      <c r="B57">
        <v>139151041</v>
      </c>
      <c r="C57">
        <v>687953.796957016</v>
      </c>
      <c r="D57" s="1">
        <f>C57/B57</f>
        <v>0.00494393568321933</v>
      </c>
      <c r="E57">
        <v>127834845</v>
      </c>
      <c r="F57">
        <v>479547.0992870331</v>
      </c>
      <c r="G57" s="1">
        <f>F57/E57</f>
        <v>0.003751301918401302</v>
      </c>
      <c r="H57" s="1">
        <f>(F57+C57)/(E57+B57)</f>
        <v>0.004372893690133302</v>
      </c>
    </row>
    <row r="58" spans="1:8" ht="12.75">
      <c r="A58" t="s">
        <v>76</v>
      </c>
      <c r="B58">
        <v>80711585</v>
      </c>
      <c r="C58">
        <v>1116635.913488388</v>
      </c>
      <c r="D58" s="1">
        <f>C58/B58</f>
        <v>0.013834890164632352</v>
      </c>
      <c r="E58">
        <v>77213764</v>
      </c>
      <c r="F58">
        <v>763485.7315196991</v>
      </c>
      <c r="G58" s="1">
        <f>F58/E58</f>
        <v>0.00988794862428542</v>
      </c>
      <c r="H58" s="1">
        <f>(F58+C58)/(E58+B58)</f>
        <v>0.011905128954364933</v>
      </c>
    </row>
    <row r="59" spans="1:8" ht="12.75">
      <c r="A59" t="s">
        <v>77</v>
      </c>
      <c r="B59">
        <v>29766962</v>
      </c>
      <c r="C59">
        <v>1111135.249847412</v>
      </c>
      <c r="D59" s="1">
        <f>C59/B59</f>
        <v>0.03732780153538719</v>
      </c>
      <c r="E59">
        <v>31380004</v>
      </c>
      <c r="F59">
        <v>910516.8891830444</v>
      </c>
      <c r="G59" s="1">
        <f>F59/E59</f>
        <v>0.029015830883356308</v>
      </c>
      <c r="H59" s="1">
        <f>(F59+C59)/(E59+B59)</f>
        <v>0.03306218233346944</v>
      </c>
    </row>
    <row r="60" spans="1:8" ht="12.75">
      <c r="A60" t="s">
        <v>78</v>
      </c>
      <c r="B60">
        <v>14121390</v>
      </c>
      <c r="C60">
        <v>1127073.4407424927</v>
      </c>
      <c r="D60" s="1">
        <f>C60/B60</f>
        <v>0.07981320824242462</v>
      </c>
      <c r="E60">
        <v>15602795</v>
      </c>
      <c r="F60">
        <v>1089004.1011276245</v>
      </c>
      <c r="G60" s="1">
        <f>F60/E60</f>
        <v>0.06979545018233109</v>
      </c>
      <c r="H60" s="1">
        <f>(F60+C60)/(E60+B60)</f>
        <v>0.07455469483419368</v>
      </c>
    </row>
    <row r="61" spans="1:8" ht="12.75">
      <c r="A61" t="s">
        <v>79</v>
      </c>
      <c r="B61">
        <v>3593890.0002</v>
      </c>
      <c r="C61">
        <v>542722.1772155762</v>
      </c>
      <c r="D61" s="1">
        <f>C61/B61</f>
        <v>0.1510124620356699</v>
      </c>
      <c r="E61">
        <v>4272696.0001</v>
      </c>
      <c r="F61">
        <v>594118.5482673645</v>
      </c>
      <c r="G61" s="1">
        <f>F61/E61</f>
        <v>0.13905003965961057</v>
      </c>
      <c r="H61" s="1">
        <f>(F61+C61)/(E61+B61)</f>
        <v>0.14451513343140038</v>
      </c>
    </row>
    <row r="63" spans="1:8" ht="12.75">
      <c r="A63" s="6" t="s">
        <v>12</v>
      </c>
      <c r="B63" t="s">
        <v>98</v>
      </c>
      <c r="C63" t="s">
        <v>99</v>
      </c>
      <c r="D63" t="s">
        <v>100</v>
      </c>
      <c r="E63" t="s">
        <v>101</v>
      </c>
      <c r="F63" t="s">
        <v>102</v>
      </c>
      <c r="G63" t="s">
        <v>103</v>
      </c>
      <c r="H63" s="29" t="s">
        <v>104</v>
      </c>
    </row>
    <row r="64" spans="1:8" ht="12.75">
      <c r="A64" t="s">
        <v>27</v>
      </c>
      <c r="B64">
        <v>57116701.98570986</v>
      </c>
      <c r="C64">
        <v>2367063.3006215096</v>
      </c>
      <c r="D64" s="1">
        <f>C64/B64</f>
        <v>0.0414425766602163</v>
      </c>
      <c r="E64">
        <v>56160032.14754955</v>
      </c>
      <c r="F64">
        <v>2137002.0202044845</v>
      </c>
      <c r="G64" s="1">
        <f>F64/E64</f>
        <v>0.038052008492265955</v>
      </c>
      <c r="H64" s="1">
        <f>(F64+C64)/(E64+B64)</f>
        <v>0.03976160996597399</v>
      </c>
    </row>
    <row r="65" spans="1:8" ht="12.75">
      <c r="A65" t="s">
        <v>28</v>
      </c>
      <c r="B65">
        <v>91675297.48845977</v>
      </c>
      <c r="C65">
        <v>281345.87087619305</v>
      </c>
      <c r="D65" s="1">
        <f>C65/B65</f>
        <v>0.0030689387281411257</v>
      </c>
      <c r="E65">
        <v>90545559.186899</v>
      </c>
      <c r="F65">
        <v>289341.2296169996</v>
      </c>
      <c r="G65" s="1">
        <f>F65/E65</f>
        <v>0.0031955319754529083</v>
      </c>
      <c r="H65" s="1">
        <f>(F65+C65)/(E65+B65)</f>
        <v>0.00313184292350199</v>
      </c>
    </row>
    <row r="66" spans="1:8" ht="12.75">
      <c r="A66" t="s">
        <v>74</v>
      </c>
      <c r="B66">
        <v>93064095.01579304</v>
      </c>
      <c r="C66">
        <v>529440.8659205437</v>
      </c>
      <c r="D66" s="1">
        <f>C66/B66</f>
        <v>0.005688991719424093</v>
      </c>
      <c r="E66">
        <v>93322574.65337206</v>
      </c>
      <c r="F66">
        <v>698208.273016572</v>
      </c>
      <c r="G66" s="1">
        <f>F66/E66</f>
        <v>0.007481665348496076</v>
      </c>
      <c r="H66" s="1">
        <f>(F66+C66)/(E66+B66)</f>
        <v>0.006586571567141488</v>
      </c>
    </row>
    <row r="67" spans="1:8" ht="12.75">
      <c r="A67" t="s">
        <v>75</v>
      </c>
      <c r="B67">
        <v>48960897.83586587</v>
      </c>
      <c r="C67">
        <v>852303.9389810562</v>
      </c>
      <c r="D67" s="1">
        <f>C67/B67</f>
        <v>0.017407849460569093</v>
      </c>
      <c r="E67">
        <v>50686262.03873826</v>
      </c>
      <c r="F67">
        <v>677707.3296656609</v>
      </c>
      <c r="G67" s="1">
        <f>F67/E67</f>
        <v>0.013370631457251788</v>
      </c>
      <c r="H67" s="1">
        <f>(F67+C67)/(E67+B67)</f>
        <v>0.015354288778245977</v>
      </c>
    </row>
    <row r="68" spans="1:8" ht="12.75">
      <c r="A68" t="s">
        <v>76</v>
      </c>
      <c r="B68">
        <v>26327542.765176646</v>
      </c>
      <c r="C68">
        <v>632407.0063171387</v>
      </c>
      <c r="D68" s="1">
        <f>C68/B68</f>
        <v>0.02402073797611</v>
      </c>
      <c r="E68">
        <v>28452568.270885605</v>
      </c>
      <c r="F68">
        <v>465774.13044404984</v>
      </c>
      <c r="G68" s="1">
        <f>F68/E68</f>
        <v>0.01637019639174922</v>
      </c>
      <c r="H68" s="1">
        <f>(F68+C68)/(E68+B68)</f>
        <v>0.02004707759789398</v>
      </c>
    </row>
    <row r="69" spans="1:8" ht="12.75">
      <c r="A69" t="s">
        <v>77</v>
      </c>
      <c r="B69">
        <v>9243431.941313991</v>
      </c>
      <c r="C69">
        <v>412005.5320930481</v>
      </c>
      <c r="D69" s="1">
        <f>C69/B69</f>
        <v>0.044572787976245955</v>
      </c>
      <c r="E69">
        <v>10712146.34860259</v>
      </c>
      <c r="F69">
        <v>349829.15842819214</v>
      </c>
      <c r="G69" s="1">
        <f>F69/E69</f>
        <v>0.032657242259748226</v>
      </c>
      <c r="H69" s="1">
        <f>(F69+C69)/(E69+B69)</f>
        <v>0.03817652785868852</v>
      </c>
    </row>
    <row r="70" spans="1:8" ht="12.75">
      <c r="A70" t="s">
        <v>78</v>
      </c>
      <c r="B70">
        <v>4065470.230913291</v>
      </c>
      <c r="C70">
        <v>365774.80519485474</v>
      </c>
      <c r="D70" s="1">
        <f>C70/B70</f>
        <v>0.08997109422018444</v>
      </c>
      <c r="E70">
        <v>5114709.212723943</v>
      </c>
      <c r="F70">
        <v>383508.10005378723</v>
      </c>
      <c r="G70" s="1">
        <f>F70/E70</f>
        <v>0.07498140834668138</v>
      </c>
      <c r="H70" s="1">
        <f>(F70+C70)/(E70+B70)</f>
        <v>0.08161963607018254</v>
      </c>
    </row>
    <row r="71" spans="1:8" ht="12.75">
      <c r="A71" t="s">
        <v>79</v>
      </c>
      <c r="B71">
        <v>890604.6643438509</v>
      </c>
      <c r="C71">
        <v>170334.10223770142</v>
      </c>
      <c r="D71" s="1">
        <f>C71/B71</f>
        <v>0.19125669228691308</v>
      </c>
      <c r="E71">
        <v>1324703.214752674</v>
      </c>
      <c r="F71">
        <v>225238.365650177</v>
      </c>
      <c r="G71" s="1">
        <f>F71/E71</f>
        <v>0.1700293040296046</v>
      </c>
      <c r="H71" s="1">
        <f>(F71+C71)/(E71+B71)</f>
        <v>0.17856320181066923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workbookViewId="0" topLeftCell="A1">
      <selection activeCell="B1" sqref="B1"/>
    </sheetView>
  </sheetViews>
  <sheetFormatPr defaultColWidth="9.140625" defaultRowHeight="12.75"/>
  <cols>
    <col min="1" max="1" width="20.7109375" style="0" customWidth="1"/>
    <col min="2" max="2" width="9.421875" style="0" customWidth="1"/>
    <col min="3" max="3" width="10.00390625" style="0" customWidth="1"/>
    <col min="4" max="4" width="9.421875" style="0" customWidth="1"/>
    <col min="7" max="7" width="20.7109375" style="0" customWidth="1"/>
    <col min="8" max="11" width="12.00390625" style="0" customWidth="1"/>
    <col min="13" max="13" width="20.8515625" style="0" customWidth="1"/>
    <col min="14" max="17" width="12.00390625" style="0" customWidth="1"/>
  </cols>
  <sheetData>
    <row r="1" spans="1:13" ht="12.75">
      <c r="A1" t="s">
        <v>0</v>
      </c>
      <c r="G1" t="s">
        <v>0</v>
      </c>
      <c r="M1" t="s">
        <v>0</v>
      </c>
    </row>
    <row r="2" spans="1:14" ht="12.75">
      <c r="A2" t="s">
        <v>14</v>
      </c>
      <c r="B2">
        <v>0.022</v>
      </c>
      <c r="G2" t="s">
        <v>14</v>
      </c>
      <c r="M2" t="s">
        <v>14</v>
      </c>
      <c r="N2">
        <v>0.22</v>
      </c>
    </row>
    <row r="3" spans="2:17" ht="12.75">
      <c r="B3" t="s">
        <v>1</v>
      </c>
      <c r="C3" t="s">
        <v>2</v>
      </c>
      <c r="D3" t="s">
        <v>3</v>
      </c>
      <c r="E3" t="s">
        <v>4</v>
      </c>
      <c r="H3" t="s">
        <v>1</v>
      </c>
      <c r="I3" t="s">
        <v>2</v>
      </c>
      <c r="J3" t="s">
        <v>3</v>
      </c>
      <c r="K3" t="s">
        <v>4</v>
      </c>
      <c r="N3" t="s">
        <v>1</v>
      </c>
      <c r="O3" t="s">
        <v>2</v>
      </c>
      <c r="P3" t="s">
        <v>3</v>
      </c>
      <c r="Q3" t="s">
        <v>4</v>
      </c>
    </row>
    <row r="4" spans="1:17" ht="12.75">
      <c r="A4" t="s">
        <v>7</v>
      </c>
      <c r="B4">
        <v>2.083448183350786</v>
      </c>
      <c r="C4">
        <v>44.443263296204904</v>
      </c>
      <c r="D4">
        <v>49.34035281329844</v>
      </c>
      <c r="E4">
        <v>1.9129913220526222</v>
      </c>
      <c r="G4" t="s">
        <v>7</v>
      </c>
      <c r="H4">
        <v>3.7139728485818355</v>
      </c>
      <c r="I4">
        <v>79.22494761497396</v>
      </c>
      <c r="J4">
        <v>87.95454197153198</v>
      </c>
      <c r="K4">
        <v>3.4101149653981526</v>
      </c>
      <c r="M4" t="s">
        <v>7</v>
      </c>
      <c r="N4">
        <v>53.79428893229654</v>
      </c>
      <c r="O4">
        <v>114.00663193374302</v>
      </c>
      <c r="P4">
        <v>126.56873112976557</v>
      </c>
      <c r="Q4">
        <v>4.9072386087436835</v>
      </c>
    </row>
    <row r="5" spans="1:17" ht="12.75">
      <c r="A5" t="s">
        <v>8</v>
      </c>
      <c r="B5">
        <v>0.9665478576795946</v>
      </c>
      <c r="C5">
        <v>20.160417141644544</v>
      </c>
      <c r="D5">
        <v>55.46039346129393</v>
      </c>
      <c r="E5">
        <v>0.9072410018734575</v>
      </c>
      <c r="G5" t="s">
        <v>8</v>
      </c>
      <c r="H5">
        <v>1.722976615863625</v>
      </c>
      <c r="I5">
        <v>35.938134904670704</v>
      </c>
      <c r="J5">
        <v>98.86417964839352</v>
      </c>
      <c r="K5">
        <v>1.6172556989918154</v>
      </c>
      <c r="M5" t="s">
        <v>8</v>
      </c>
      <c r="N5">
        <v>2.479405374047656</v>
      </c>
      <c r="O5">
        <v>51.71585266769688</v>
      </c>
      <c r="P5">
        <v>142.26796583549316</v>
      </c>
      <c r="Q5">
        <v>2.3272703961101735</v>
      </c>
    </row>
    <row r="6" spans="1:17" ht="12.75">
      <c r="A6" t="s">
        <v>9</v>
      </c>
      <c r="B6">
        <v>1.298894244755778</v>
      </c>
      <c r="C6">
        <v>20.97065500750543</v>
      </c>
      <c r="D6">
        <v>63.02269782888805</v>
      </c>
      <c r="E6">
        <v>1.199848433563175</v>
      </c>
      <c r="G6" t="s">
        <v>9</v>
      </c>
      <c r="H6">
        <v>2.315420175434213</v>
      </c>
      <c r="I6">
        <v>37.38247196990098</v>
      </c>
      <c r="J6">
        <v>112.3448091732352</v>
      </c>
      <c r="K6">
        <v>2.1388602511343553</v>
      </c>
      <c r="M6" t="s">
        <v>9</v>
      </c>
      <c r="N6">
        <v>3.331946106112648</v>
      </c>
      <c r="O6">
        <v>53.79428893229654</v>
      </c>
      <c r="P6">
        <v>161.6669205175824</v>
      </c>
      <c r="Q6">
        <v>3.0778720687055356</v>
      </c>
    </row>
    <row r="7" spans="1:17" ht="12.75">
      <c r="A7" t="s">
        <v>10</v>
      </c>
      <c r="B7">
        <v>5.323206586237214</v>
      </c>
      <c r="C7">
        <v>6650.511359141214</v>
      </c>
      <c r="D7">
        <v>125.54372664928185</v>
      </c>
      <c r="E7">
        <v>5.102759047436363</v>
      </c>
      <c r="G7" t="s">
        <v>10</v>
      </c>
      <c r="H7">
        <v>9.489194349379382</v>
      </c>
      <c r="I7">
        <v>11855.259379338686</v>
      </c>
      <c r="J7">
        <v>223.7953388095894</v>
      </c>
      <c r="K7">
        <v>9.096222649777864</v>
      </c>
      <c r="M7" t="s">
        <v>10</v>
      </c>
      <c r="N7">
        <v>13.65518211252155</v>
      </c>
      <c r="O7">
        <v>17060.00739953616</v>
      </c>
      <c r="P7">
        <v>322.04695096989695</v>
      </c>
      <c r="Q7">
        <v>13.089686252119368</v>
      </c>
    </row>
    <row r="8" spans="1:17" ht="12.75">
      <c r="A8" t="s">
        <v>11</v>
      </c>
      <c r="B8">
        <v>3.3958518212405226</v>
      </c>
      <c r="C8">
        <v>110.21506047921122</v>
      </c>
      <c r="D8">
        <v>39.01244858336655</v>
      </c>
      <c r="E8">
        <v>3.037824514902447</v>
      </c>
      <c r="G8" t="s">
        <v>11</v>
      </c>
      <c r="H8">
        <v>6.053474985689628</v>
      </c>
      <c r="I8">
        <v>196.4703252020722</v>
      </c>
      <c r="J8">
        <v>69.54393008339252</v>
      </c>
      <c r="K8">
        <v>5.415252396130449</v>
      </c>
      <c r="M8" t="s">
        <v>11</v>
      </c>
      <c r="N8">
        <v>8.711098150138731</v>
      </c>
      <c r="O8">
        <v>282.7255899249331</v>
      </c>
      <c r="P8">
        <v>100.07541158341853</v>
      </c>
      <c r="Q8">
        <v>7.792680277358451</v>
      </c>
    </row>
    <row r="9" spans="1:17" ht="12.75">
      <c r="A9" t="s">
        <v>12</v>
      </c>
      <c r="B9">
        <v>6.485646834396572</v>
      </c>
      <c r="C9">
        <v>107.12849383125237</v>
      </c>
      <c r="D9">
        <v>39.643820578686764</v>
      </c>
      <c r="E9">
        <v>5.298130506648841</v>
      </c>
      <c r="G9" t="s">
        <v>12</v>
      </c>
      <c r="H9">
        <v>11.561370443924323</v>
      </c>
      <c r="I9">
        <v>190.96818465571073</v>
      </c>
      <c r="J9">
        <v>70.66941929244163</v>
      </c>
      <c r="K9">
        <v>9.44449351185228</v>
      </c>
      <c r="M9" t="s">
        <v>12</v>
      </c>
      <c r="N9">
        <v>16.637094053452074</v>
      </c>
      <c r="O9">
        <v>274.80787548016906</v>
      </c>
      <c r="P9">
        <v>101.69501800619649</v>
      </c>
      <c r="Q9">
        <v>13.59085651705572</v>
      </c>
    </row>
    <row r="11" spans="1:13" ht="12.75">
      <c r="A11" t="s">
        <v>13</v>
      </c>
      <c r="G11" t="s">
        <v>13</v>
      </c>
      <c r="M11" t="s">
        <v>13</v>
      </c>
    </row>
    <row r="13" spans="2:17" ht="12.75">
      <c r="B13" t="s">
        <v>1</v>
      </c>
      <c r="C13" t="s">
        <v>2</v>
      </c>
      <c r="D13" t="s">
        <v>3</v>
      </c>
      <c r="E13" t="s">
        <v>4</v>
      </c>
      <c r="H13" t="s">
        <v>1</v>
      </c>
      <c r="I13" t="s">
        <v>2</v>
      </c>
      <c r="J13" t="s">
        <v>3</v>
      </c>
      <c r="K13" t="s">
        <v>4</v>
      </c>
      <c r="N13" t="s">
        <v>1</v>
      </c>
      <c r="O13" t="s">
        <v>2</v>
      </c>
      <c r="P13" t="s">
        <v>3</v>
      </c>
      <c r="Q13" t="s">
        <v>4</v>
      </c>
    </row>
    <row r="14" spans="1:17" ht="12.75">
      <c r="A14" t="s">
        <v>7</v>
      </c>
      <c r="B14" s="1">
        <f>1000000*1/B4</f>
        <v>479973.5400146652</v>
      </c>
      <c r="C14" s="1">
        <f>1000000*1/C4</f>
        <v>22500.59797218788</v>
      </c>
      <c r="D14" s="1">
        <f>1000000*1/D4</f>
        <v>20267.386489593067</v>
      </c>
      <c r="E14" s="1">
        <f>1000000*1/E4</f>
        <v>522741.5244764462</v>
      </c>
      <c r="G14" t="s">
        <v>7</v>
      </c>
      <c r="H14" s="1">
        <f>1000000*1/H4</f>
        <v>269253.44927651953</v>
      </c>
      <c r="I14" s="1">
        <f>1000000*1/I4</f>
        <v>12622.286667324908</v>
      </c>
      <c r="J14" s="1">
        <f>1000000*1/J4</f>
        <v>11369.509494161966</v>
      </c>
      <c r="K14" s="1">
        <f>1000000*1/K4</f>
        <v>293245.2454380064</v>
      </c>
      <c r="M14" t="s">
        <v>7</v>
      </c>
      <c r="N14" s="1">
        <f>1000000*1/N4</f>
        <v>18589.333920903056</v>
      </c>
      <c r="O14" s="1">
        <f>1000000*1/O4</f>
        <v>8771.41954848002</v>
      </c>
      <c r="P14" s="1">
        <f>1000000*1/P4</f>
        <v>7900.845580688822</v>
      </c>
      <c r="Q14" s="1">
        <f>1000000*1/Q4</f>
        <v>203780.59428742816</v>
      </c>
    </row>
    <row r="15" spans="1:17" ht="12.75">
      <c r="A15" t="s">
        <v>8</v>
      </c>
      <c r="B15" s="1">
        <f>1000000*1/B5</f>
        <v>1034609.9182307583</v>
      </c>
      <c r="C15" s="1">
        <f>1000000*1/C5</f>
        <v>49602.14825785232</v>
      </c>
      <c r="D15" s="1">
        <f>1000000*1/D5</f>
        <v>18030.885422727926</v>
      </c>
      <c r="E15" s="1">
        <f>1000000*1/E5</f>
        <v>1102242.9519113386</v>
      </c>
      <c r="G15" t="s">
        <v>8</v>
      </c>
      <c r="H15" s="1">
        <f>1000000*1/H5</f>
        <v>580390.9297392059</v>
      </c>
      <c r="I15" s="1">
        <f>1000000*1/I5</f>
        <v>27825.59536416106</v>
      </c>
      <c r="J15" s="1">
        <f>1000000*1/J5</f>
        <v>10114.886944457132</v>
      </c>
      <c r="K15" s="1">
        <f>1000000*1/K5</f>
        <v>618331.4120478241</v>
      </c>
      <c r="M15" t="s">
        <v>8</v>
      </c>
      <c r="N15" s="1">
        <f>1000000*1/N5</f>
        <v>403322.5104967363</v>
      </c>
      <c r="O15" s="1">
        <f>1000000*1/O5</f>
        <v>19336.430676789885</v>
      </c>
      <c r="P15" s="1">
        <f>1000000*1/P5</f>
        <v>7028.989232588851</v>
      </c>
      <c r="Q15" s="1">
        <f>1000000*1/Q5</f>
        <v>429687.930406115</v>
      </c>
    </row>
    <row r="16" spans="1:17" ht="12.75">
      <c r="A16" t="s">
        <v>9</v>
      </c>
      <c r="B16" s="1">
        <f>1000000*1/B6</f>
        <v>769885.6192776671</v>
      </c>
      <c r="C16" s="1">
        <f>1000000*1/C6</f>
        <v>47685.68266666436</v>
      </c>
      <c r="D16" s="1">
        <f>1000000*1/D6</f>
        <v>15867.299154902643</v>
      </c>
      <c r="E16" s="1">
        <f>1000000*1/E6</f>
        <v>833438.6010992342</v>
      </c>
      <c r="G16" t="s">
        <v>9</v>
      </c>
      <c r="H16" s="1">
        <f>1000000*1/H6</f>
        <v>431887.05471674015</v>
      </c>
      <c r="I16" s="1">
        <f>1000000*1/I6</f>
        <v>26750.504910567815</v>
      </c>
      <c r="J16" s="1">
        <f>1000000*1/J6</f>
        <v>8901.167818603923</v>
      </c>
      <c r="K16" s="1">
        <f>1000000*1/K6</f>
        <v>467538.7274459119</v>
      </c>
      <c r="M16" t="s">
        <v>9</v>
      </c>
      <c r="N16" s="1">
        <f>1000000*1/N6</f>
        <v>300124.9024302771</v>
      </c>
      <c r="O16" s="1">
        <f>1000000*1/O6</f>
        <v>18589.333920903056</v>
      </c>
      <c r="P16" s="1">
        <f>1000000*1/P6</f>
        <v>6185.557297673911</v>
      </c>
      <c r="Q16" s="1">
        <f>1000000*1/Q6</f>
        <v>324899.793648854</v>
      </c>
    </row>
    <row r="17" spans="1:17" ht="12.75">
      <c r="A17" t="s">
        <v>10</v>
      </c>
      <c r="B17" s="1">
        <f>1000000*1/B7</f>
        <v>187856.69573400205</v>
      </c>
      <c r="C17" s="1">
        <f>1000000*1/C7</f>
        <v>150.36437741369875</v>
      </c>
      <c r="D17" s="1">
        <f>1000000*1/D7</f>
        <v>7965.352205877985</v>
      </c>
      <c r="E17" s="1">
        <f>1000000*1/E7</f>
        <v>195972.41231729375</v>
      </c>
      <c r="G17" t="s">
        <v>10</v>
      </c>
      <c r="H17" s="1">
        <f>1000000*1/H7</f>
        <v>105383.02443614748</v>
      </c>
      <c r="I17" s="1">
        <f>1000000*1/I7</f>
        <v>84.35074830524563</v>
      </c>
      <c r="J17" s="1">
        <f>1000000*1/J7</f>
        <v>4468.368310614479</v>
      </c>
      <c r="K17" s="1">
        <f>1000000*1/K7</f>
        <v>109935.74349506722</v>
      </c>
      <c r="M17" t="s">
        <v>10</v>
      </c>
      <c r="N17" s="1">
        <f>1000000*1/N7</f>
        <v>73232.27121833978</v>
      </c>
      <c r="O17" s="1">
        <f>1000000*1/O7</f>
        <v>58.61662170364526</v>
      </c>
      <c r="P17" s="1">
        <f>1000000*1/P7</f>
        <v>3105.1373005965024</v>
      </c>
      <c r="Q17" s="1">
        <f>1000000*1/Q7</f>
        <v>76396.02514063992</v>
      </c>
    </row>
    <row r="18" spans="1:17" ht="12.75">
      <c r="A18" t="s">
        <v>11</v>
      </c>
      <c r="B18" s="1">
        <f>1000000*1/B8</f>
        <v>294476.92438909033</v>
      </c>
      <c r="C18" s="1">
        <f>1000000*1/C8</f>
        <v>9073.170178848835</v>
      </c>
      <c r="D18" s="1">
        <f>1000000*1/D8</f>
        <v>25632.843779674025</v>
      </c>
      <c r="E18" s="1">
        <f>1000000*1/E8</f>
        <v>329182.93834761315</v>
      </c>
      <c r="G18" t="s">
        <v>11</v>
      </c>
      <c r="H18" s="1">
        <f>1000000*1/H8</f>
        <v>165194.37221827015</v>
      </c>
      <c r="I18" s="1">
        <f>1000000*1/I8</f>
        <v>5089.827173500566</v>
      </c>
      <c r="J18" s="1">
        <f>1000000*1/J8</f>
        <v>14379.400169085433</v>
      </c>
      <c r="K18" s="1">
        <f>1000000*1/K8</f>
        <v>184663.59956085615</v>
      </c>
      <c r="M18" t="s">
        <v>11</v>
      </c>
      <c r="N18" s="1">
        <f>1000000*1/N8</f>
        <v>114796.08916862843</v>
      </c>
      <c r="O18" s="1">
        <f>1000000*1/O8</f>
        <v>3536.9985442970037</v>
      </c>
      <c r="P18" s="1">
        <f>1000000*1/P8</f>
        <v>9992.464524279705</v>
      </c>
      <c r="Q18" s="1">
        <f>1000000*1/Q8</f>
        <v>128325.55223720512</v>
      </c>
    </row>
    <row r="19" spans="1:17" ht="12.75">
      <c r="A19" t="s">
        <v>12</v>
      </c>
      <c r="B19" s="1">
        <f>1000000*1/B9</f>
        <v>154186.62556470215</v>
      </c>
      <c r="C19" s="1">
        <f>1000000*1/C9</f>
        <v>9334.584705122328</v>
      </c>
      <c r="D19" s="1">
        <f>1000000*1/D9</f>
        <v>25224.612194355912</v>
      </c>
      <c r="E19" s="1">
        <f>1000000*1/E9</f>
        <v>188745.82246418035</v>
      </c>
      <c r="G19" t="s">
        <v>12</v>
      </c>
      <c r="H19" s="1">
        <f>1000000*1/H9</f>
        <v>86494.93629239389</v>
      </c>
      <c r="I19" s="1">
        <f>1000000*1/I9</f>
        <v>5236.47434677594</v>
      </c>
      <c r="J19" s="1">
        <f>1000000*1/J9</f>
        <v>14150.3922065899</v>
      </c>
      <c r="K19" s="1">
        <f>1000000*1/K9</f>
        <v>105881.80284575974</v>
      </c>
      <c r="M19" t="s">
        <v>12</v>
      </c>
      <c r="N19" s="1">
        <f>1000000*1/N9</f>
        <v>60106.650643866946</v>
      </c>
      <c r="O19" s="1">
        <f>1000000*1/O9</f>
        <v>3638.9059019968404</v>
      </c>
      <c r="P19" s="1">
        <f>1000000*1/P9</f>
        <v>9833.32339779976</v>
      </c>
      <c r="Q19" s="1">
        <f>1000000*1/Q9</f>
        <v>73578.87994366355</v>
      </c>
    </row>
    <row r="21" spans="1:14" ht="12.75">
      <c r="A21" t="s">
        <v>0</v>
      </c>
      <c r="B21" t="s">
        <v>15</v>
      </c>
      <c r="M21" t="s">
        <v>0</v>
      </c>
      <c r="N21" t="s">
        <v>15</v>
      </c>
    </row>
    <row r="22" spans="1:14" ht="12.75">
      <c r="A22" t="s">
        <v>14</v>
      </c>
      <c r="B22">
        <v>0.022</v>
      </c>
      <c r="M22" t="s">
        <v>14</v>
      </c>
      <c r="N22">
        <v>0.22</v>
      </c>
    </row>
    <row r="23" spans="2:17" ht="12.75">
      <c r="B23" t="s">
        <v>1</v>
      </c>
      <c r="C23" t="s">
        <v>2</v>
      </c>
      <c r="D23" t="s">
        <v>3</v>
      </c>
      <c r="E23" t="s">
        <v>4</v>
      </c>
      <c r="N23" t="s">
        <v>1</v>
      </c>
      <c r="O23" t="s">
        <v>2</v>
      </c>
      <c r="P23" t="s">
        <v>3</v>
      </c>
      <c r="Q23" t="s">
        <v>4</v>
      </c>
    </row>
    <row r="24" spans="1:17" ht="12.75">
      <c r="A24" t="s">
        <v>7</v>
      </c>
      <c r="B24" s="1">
        <f>H4-B4</f>
        <v>1.6305246652310497</v>
      </c>
      <c r="C24" s="1">
        <f>I4-C4</f>
        <v>34.78168431876905</v>
      </c>
      <c r="D24" s="1">
        <f>J4-D4</f>
        <v>38.61418915823354</v>
      </c>
      <c r="E24" s="1">
        <f>K4-E4</f>
        <v>1.4971236433455304</v>
      </c>
      <c r="M24" t="s">
        <v>7</v>
      </c>
      <c r="N24" s="1">
        <f>N4-H4</f>
        <v>50.080316083714706</v>
      </c>
      <c r="O24" s="1">
        <f>O4-I4</f>
        <v>34.78168431876907</v>
      </c>
      <c r="P24" s="1">
        <f>P4-J4</f>
        <v>38.614189158233586</v>
      </c>
      <c r="Q24" s="1">
        <f>Q4-K4</f>
        <v>1.4971236433455308</v>
      </c>
    </row>
    <row r="25" spans="1:17" ht="12.75">
      <c r="A25" t="s">
        <v>8</v>
      </c>
      <c r="B25" s="1">
        <f>H5-B5</f>
        <v>0.7564287581840304</v>
      </c>
      <c r="C25" s="1">
        <f>I5-C5</f>
        <v>15.77771776302616</v>
      </c>
      <c r="D25" s="1">
        <f>J5-D5</f>
        <v>43.403786187099584</v>
      </c>
      <c r="E25" s="1">
        <f>K5-E5</f>
        <v>0.710014697118358</v>
      </c>
      <c r="M25" t="s">
        <v>8</v>
      </c>
      <c r="N25" s="1">
        <f>N5-H5</f>
        <v>0.7564287581840308</v>
      </c>
      <c r="O25" s="1">
        <f>O5-I5</f>
        <v>15.777717763026175</v>
      </c>
      <c r="P25" s="1">
        <f>P5-J5</f>
        <v>43.40378618709964</v>
      </c>
      <c r="Q25" s="1">
        <f>Q5-K5</f>
        <v>0.7100146971183581</v>
      </c>
    </row>
    <row r="26" spans="1:17" ht="12.75">
      <c r="A26" t="s">
        <v>9</v>
      </c>
      <c r="B26" s="1">
        <f>H6-B6</f>
        <v>1.0165259306784349</v>
      </c>
      <c r="C26" s="1">
        <f>I6-C6</f>
        <v>16.41181696239555</v>
      </c>
      <c r="D26" s="1">
        <f>J6-D6</f>
        <v>49.32211134434716</v>
      </c>
      <c r="E26" s="1">
        <f>K6-E6</f>
        <v>0.9390118175711804</v>
      </c>
      <c r="M26" t="s">
        <v>9</v>
      </c>
      <c r="N26" s="1">
        <f>N6-H6</f>
        <v>1.0165259306784349</v>
      </c>
      <c r="O26" s="1">
        <f>O6-I6</f>
        <v>16.411816962395555</v>
      </c>
      <c r="P26" s="1">
        <f>P6-J6</f>
        <v>49.322111344347206</v>
      </c>
      <c r="Q26" s="1">
        <f>Q6-K6</f>
        <v>0.9390118175711804</v>
      </c>
    </row>
    <row r="27" spans="1:17" ht="12.75">
      <c r="A27" t="s">
        <v>10</v>
      </c>
      <c r="B27" s="1">
        <f>H7-B7</f>
        <v>4.165987763142168</v>
      </c>
      <c r="C27" s="1">
        <f>I7-C7</f>
        <v>5204.748020197472</v>
      </c>
      <c r="D27" s="1">
        <f>J7-D7</f>
        <v>98.25161216030754</v>
      </c>
      <c r="E27" s="1">
        <f>K7-E7</f>
        <v>3.9934636023415013</v>
      </c>
      <c r="M27" t="s">
        <v>10</v>
      </c>
      <c r="N27" s="1">
        <f>N7-H7</f>
        <v>4.165987763142168</v>
      </c>
      <c r="O27" s="1">
        <f>O7-I7</f>
        <v>5204.748020197474</v>
      </c>
      <c r="P27" s="1">
        <f>P7-J7</f>
        <v>98.25161216030756</v>
      </c>
      <c r="Q27" s="1">
        <f>Q7-K7</f>
        <v>3.993463602341503</v>
      </c>
    </row>
    <row r="28" spans="1:17" ht="12.75">
      <c r="A28" t="s">
        <v>11</v>
      </c>
      <c r="B28" s="1">
        <f>H8-B8</f>
        <v>2.6576231644491055</v>
      </c>
      <c r="C28" s="1">
        <f>I8-C8</f>
        <v>86.25526472286097</v>
      </c>
      <c r="D28" s="1">
        <f>J8-D8</f>
        <v>30.531481500025976</v>
      </c>
      <c r="E28" s="1">
        <f>K8-E8</f>
        <v>2.377427881228002</v>
      </c>
      <c r="M28" t="s">
        <v>11</v>
      </c>
      <c r="N28" s="1">
        <f>N8-H8</f>
        <v>2.6576231644491033</v>
      </c>
      <c r="O28" s="1">
        <f>O8-I8</f>
        <v>86.25526472286091</v>
      </c>
      <c r="P28" s="1">
        <f>P8-J8</f>
        <v>30.531481500026004</v>
      </c>
      <c r="Q28" s="1">
        <f>Q8-K8</f>
        <v>2.3774278812280016</v>
      </c>
    </row>
    <row r="29" spans="1:17" ht="12.75">
      <c r="A29" t="s">
        <v>12</v>
      </c>
      <c r="B29" s="1">
        <f>H9-B9</f>
        <v>5.075723609527751</v>
      </c>
      <c r="C29" s="1">
        <f>I9-C9</f>
        <v>83.83969082445836</v>
      </c>
      <c r="D29" s="1">
        <f>J9-D9</f>
        <v>31.025598713754867</v>
      </c>
      <c r="E29" s="1">
        <f>K9-E9</f>
        <v>4.146363005203439</v>
      </c>
      <c r="M29" t="s">
        <v>12</v>
      </c>
      <c r="N29" s="1">
        <f>N9-H9</f>
        <v>5.075723609527751</v>
      </c>
      <c r="O29" s="1">
        <f>O9-I9</f>
        <v>83.83969082445833</v>
      </c>
      <c r="P29" s="1">
        <f>P9-J9</f>
        <v>31.02559871375486</v>
      </c>
      <c r="Q29" s="1">
        <f>Q9-K9</f>
        <v>4.14636300520344</v>
      </c>
    </row>
    <row r="31" spans="1:13" ht="12.75">
      <c r="A31" t="s">
        <v>13</v>
      </c>
      <c r="M31" t="s">
        <v>13</v>
      </c>
    </row>
    <row r="33" spans="2:17" ht="12.75">
      <c r="B33" t="s">
        <v>1</v>
      </c>
      <c r="C33" t="s">
        <v>2</v>
      </c>
      <c r="D33" t="s">
        <v>3</v>
      </c>
      <c r="E33" t="s">
        <v>4</v>
      </c>
      <c r="N33" t="s">
        <v>1</v>
      </c>
      <c r="O33" t="s">
        <v>2</v>
      </c>
      <c r="P33" t="s">
        <v>3</v>
      </c>
      <c r="Q33" t="s">
        <v>4</v>
      </c>
    </row>
    <row r="34" spans="1:17" ht="12.75">
      <c r="A34" t="s">
        <v>7</v>
      </c>
      <c r="B34" s="1">
        <f>B14-H14</f>
        <v>210720.0907381457</v>
      </c>
      <c r="C34" s="1">
        <f>C14-I14</f>
        <v>9878.311304862971</v>
      </c>
      <c r="D34" s="1">
        <f>D14-J14</f>
        <v>8897.876995431101</v>
      </c>
      <c r="E34" s="1">
        <f>E14-K14</f>
        <v>229496.2790384398</v>
      </c>
      <c r="M34" t="s">
        <v>7</v>
      </c>
      <c r="N34" s="1">
        <f>H14-N14</f>
        <v>250664.11535561646</v>
      </c>
      <c r="O34" s="1">
        <f>I14-O14</f>
        <v>3850.867118844888</v>
      </c>
      <c r="P34" s="1">
        <f>J14-P14</f>
        <v>3468.663913473144</v>
      </c>
      <c r="Q34" s="1">
        <f>K14-Q14</f>
        <v>89464.65115057825</v>
      </c>
    </row>
    <row r="35" spans="1:17" ht="12.75">
      <c r="A35" t="s">
        <v>8</v>
      </c>
      <c r="B35" s="1">
        <f>B15-H15</f>
        <v>454218.9884915524</v>
      </c>
      <c r="C35" s="1">
        <f>C15-I15</f>
        <v>21776.55289369126</v>
      </c>
      <c r="D35" s="1">
        <f>D15-J15</f>
        <v>7915.998478270794</v>
      </c>
      <c r="E35" s="1">
        <f>E15-K15</f>
        <v>483911.5398635145</v>
      </c>
      <c r="M35" t="s">
        <v>8</v>
      </c>
      <c r="N35" s="1">
        <f>H15-N15</f>
        <v>177068.4192424696</v>
      </c>
      <c r="O35" s="1">
        <f>I15-O15</f>
        <v>8489.164687371176</v>
      </c>
      <c r="P35" s="1">
        <f>J15-P15</f>
        <v>3085.8977118682806</v>
      </c>
      <c r="Q35" s="1">
        <f>K15-Q15</f>
        <v>188643.4816417091</v>
      </c>
    </row>
    <row r="36" spans="1:17" ht="12.75">
      <c r="A36" t="s">
        <v>9</v>
      </c>
      <c r="B36" s="1">
        <f>B16-H16</f>
        <v>337998.564560927</v>
      </c>
      <c r="C36" s="1">
        <f>C16-I16</f>
        <v>20935.177756096546</v>
      </c>
      <c r="D36" s="1">
        <f>D16-J16</f>
        <v>6966.13133629872</v>
      </c>
      <c r="E36" s="1">
        <f>E16-K16</f>
        <v>365899.8736533223</v>
      </c>
      <c r="M36" t="s">
        <v>9</v>
      </c>
      <c r="N36" s="1">
        <f>H16-N16</f>
        <v>131762.15228646307</v>
      </c>
      <c r="O36" s="1">
        <f>I16-O16</f>
        <v>8161.170989664759</v>
      </c>
      <c r="P36" s="1">
        <f>J16-P16</f>
        <v>2715.6105209300113</v>
      </c>
      <c r="Q36" s="1">
        <f>K16-Q16</f>
        <v>142638.9337970579</v>
      </c>
    </row>
    <row r="37" spans="1:17" ht="12.75">
      <c r="A37" t="s">
        <v>10</v>
      </c>
      <c r="B37" s="1">
        <f>B17-H17</f>
        <v>82473.67129785457</v>
      </c>
      <c r="C37" s="1">
        <f>C17-I17</f>
        <v>66.01362910845312</v>
      </c>
      <c r="D37" s="1">
        <f>D17-J17</f>
        <v>3496.9838952635064</v>
      </c>
      <c r="E37" s="1">
        <f>E17-K17</f>
        <v>86036.66882222654</v>
      </c>
      <c r="M37" t="s">
        <v>10</v>
      </c>
      <c r="N37" s="1">
        <f>H17-N17</f>
        <v>32150.753217807694</v>
      </c>
      <c r="O37" s="1">
        <f>I17-O17</f>
        <v>25.734126601600373</v>
      </c>
      <c r="P37" s="1">
        <f>J17-P17</f>
        <v>1363.2310100179766</v>
      </c>
      <c r="Q37" s="1">
        <f>K17-Q17</f>
        <v>33539.7183544273</v>
      </c>
    </row>
    <row r="38" spans="1:17" ht="12.75">
      <c r="A38" t="s">
        <v>11</v>
      </c>
      <c r="B38" s="1">
        <f>B18-H18</f>
        <v>129282.55217082018</v>
      </c>
      <c r="C38" s="1">
        <f>C18-I18</f>
        <v>3983.34300534827</v>
      </c>
      <c r="D38" s="1">
        <f>D18-J18</f>
        <v>11253.443610588592</v>
      </c>
      <c r="E38" s="1">
        <f>E18-K18</f>
        <v>144519.338786757</v>
      </c>
      <c r="M38" t="s">
        <v>11</v>
      </c>
      <c r="N38" s="1">
        <f>H18-N18</f>
        <v>50398.283049641715</v>
      </c>
      <c r="O38" s="1">
        <f>I18-O18</f>
        <v>1552.8286292035618</v>
      </c>
      <c r="P38" s="1">
        <f>J18-P18</f>
        <v>4386.935644805728</v>
      </c>
      <c r="Q38" s="1">
        <f>K18-Q18</f>
        <v>56338.04732365103</v>
      </c>
    </row>
    <row r="39" spans="1:17" ht="12.75">
      <c r="A39" t="s">
        <v>12</v>
      </c>
      <c r="B39" s="1">
        <f>B19-H19</f>
        <v>67691.68927230826</v>
      </c>
      <c r="C39" s="1">
        <f>C19-I19</f>
        <v>4098.110358346388</v>
      </c>
      <c r="D39" s="1">
        <f>D19-J19</f>
        <v>11074.219987766011</v>
      </c>
      <c r="E39" s="1">
        <f>E19-K19</f>
        <v>82864.01961842061</v>
      </c>
      <c r="M39" t="s">
        <v>12</v>
      </c>
      <c r="N39" s="1">
        <f>H19-N19</f>
        <v>26388.285648526944</v>
      </c>
      <c r="O39" s="1">
        <f>I19-O19</f>
        <v>1597.5684447790995</v>
      </c>
      <c r="P39" s="1">
        <f>J19-P19</f>
        <v>4317.06880879014</v>
      </c>
      <c r="Q39" s="1">
        <f>K19-Q19</f>
        <v>32302.922902096194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95"/>
  <sheetViews>
    <sheetView zoomScale="75" zoomScaleNormal="75" workbookViewId="0" topLeftCell="A1">
      <pane xSplit="2" ySplit="19" topLeftCell="C51" activePane="bottomRight" state="frozen"/>
      <selection pane="topLeft" activeCell="A1" sqref="A1"/>
      <selection pane="topRight" activeCell="C1" sqref="C1"/>
      <selection pane="bottomLeft" activeCell="A51" sqref="A51"/>
      <selection pane="bottomRight" activeCell="D6" sqref="D6"/>
    </sheetView>
  </sheetViews>
  <sheetFormatPr defaultColWidth="9.140625" defaultRowHeight="12.75"/>
  <cols>
    <col min="1" max="1" width="20.00390625" style="0" customWidth="1"/>
    <col min="2" max="2" width="11.140625" style="0" customWidth="1"/>
    <col min="3" max="3" width="20.28125" style="0" customWidth="1"/>
    <col min="4" max="4" width="16.140625" style="0" customWidth="1"/>
    <col min="5" max="5" width="20.28125" style="0" customWidth="1"/>
    <col min="6" max="6" width="20.00390625" style="0" customWidth="1"/>
    <col min="7" max="7" width="13.57421875" style="0" customWidth="1"/>
    <col min="8" max="8" width="12.00390625" style="0" customWidth="1"/>
    <col min="9" max="10" width="15.28125" style="0" customWidth="1"/>
    <col min="11" max="11" width="12.00390625" style="2" customWidth="1"/>
    <col min="12" max="12" width="15.28125" style="0" customWidth="1"/>
    <col min="13" max="13" width="15.28125" style="3" customWidth="1"/>
    <col min="14" max="14" width="12.00390625" style="0" customWidth="1"/>
    <col min="15" max="15" width="15.28125" style="0" customWidth="1"/>
    <col min="16" max="16" width="7.00390625" style="3" customWidth="1"/>
    <col min="17" max="17" width="10.140625" style="0" customWidth="1"/>
    <col min="18" max="18" width="15.28125" style="0" customWidth="1"/>
    <col min="19" max="19" width="15.57421875" style="3" customWidth="1"/>
    <col min="20" max="20" width="18.7109375" style="4" customWidth="1"/>
    <col min="21" max="21" width="13.140625" style="4" customWidth="1"/>
    <col min="22" max="22" width="18.7109375" style="3" customWidth="1"/>
    <col min="23" max="23" width="20.00390625" style="3" customWidth="1"/>
    <col min="24" max="24" width="19.7109375" style="5" customWidth="1"/>
    <col min="25" max="25" width="19.7109375" style="0" customWidth="1"/>
    <col min="26" max="26" width="16.8515625" style="0" customWidth="1"/>
  </cols>
  <sheetData>
    <row r="1" spans="1:37" ht="12.75">
      <c r="A1" s="6" t="s">
        <v>16</v>
      </c>
      <c r="J1" s="4"/>
      <c r="K1" s="4"/>
      <c r="L1" s="4"/>
      <c r="M1" s="4"/>
      <c r="N1" s="4"/>
      <c r="O1" s="4"/>
      <c r="P1" s="4"/>
      <c r="Q1" s="4"/>
      <c r="R1" s="4"/>
      <c r="S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2.75">
      <c r="A2" s="7" t="s">
        <v>17</v>
      </c>
      <c r="B2" t="s">
        <v>18</v>
      </c>
      <c r="J2" s="4"/>
      <c r="K2" s="4"/>
      <c r="L2" s="4"/>
      <c r="M2" s="4"/>
      <c r="N2" s="4"/>
      <c r="O2" s="4"/>
      <c r="P2" s="4"/>
      <c r="Q2" s="4"/>
      <c r="R2" s="4"/>
      <c r="S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2.75">
      <c r="A3" s="7" t="s">
        <v>19</v>
      </c>
      <c r="B3">
        <v>0.03</v>
      </c>
      <c r="J3" s="4"/>
      <c r="K3" s="4"/>
      <c r="L3" s="4"/>
      <c r="M3" s="4"/>
      <c r="N3" s="4"/>
      <c r="O3" s="4"/>
      <c r="P3" s="4"/>
      <c r="Q3" s="4"/>
      <c r="R3" s="4"/>
      <c r="S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2.75">
      <c r="A4" t="s">
        <v>20</v>
      </c>
      <c r="B4">
        <v>5</v>
      </c>
      <c r="J4" s="4"/>
      <c r="K4" s="4"/>
      <c r="L4" s="4"/>
      <c r="M4" s="4"/>
      <c r="N4" s="4"/>
      <c r="O4" s="4"/>
      <c r="P4" s="4"/>
      <c r="Q4" s="4"/>
      <c r="R4" s="4"/>
      <c r="S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0:37" ht="12.75">
      <c r="J5" s="4"/>
      <c r="K5" s="4"/>
      <c r="L5" s="4"/>
      <c r="M5" s="4"/>
      <c r="N5" s="4"/>
      <c r="O5" s="4"/>
      <c r="P5" s="4"/>
      <c r="Q5" s="4"/>
      <c r="R5" s="4"/>
      <c r="S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2.75">
      <c r="A6" t="s">
        <v>21</v>
      </c>
      <c r="B6" t="s">
        <v>22</v>
      </c>
      <c r="C6" t="s">
        <v>23</v>
      </c>
      <c r="D6" t="s">
        <v>24</v>
      </c>
      <c r="E6" t="s">
        <v>25</v>
      </c>
      <c r="F6" t="s">
        <v>26</v>
      </c>
      <c r="J6" s="4"/>
      <c r="K6" s="4"/>
      <c r="L6" s="4"/>
      <c r="M6" s="4"/>
      <c r="N6" s="4"/>
      <c r="O6" s="4"/>
      <c r="P6" s="4"/>
      <c r="Q6" s="4"/>
      <c r="R6" s="4"/>
      <c r="S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4" t="s">
        <v>27</v>
      </c>
      <c r="B7">
        <v>0</v>
      </c>
      <c r="C7">
        <v>0.96</v>
      </c>
      <c r="D7">
        <v>0.006</v>
      </c>
      <c r="E7">
        <v>0.463</v>
      </c>
      <c r="F7">
        <v>0.024</v>
      </c>
      <c r="G7" s="4"/>
      <c r="J7" s="4"/>
      <c r="K7" s="4"/>
      <c r="L7" s="4"/>
      <c r="M7" s="4"/>
      <c r="N7" s="4"/>
      <c r="O7" s="4"/>
      <c r="P7" s="4"/>
      <c r="Q7" s="4"/>
      <c r="R7" s="4"/>
      <c r="S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2.75">
      <c r="A8" s="4" t="s">
        <v>28</v>
      </c>
      <c r="B8">
        <v>0.2</v>
      </c>
      <c r="C8">
        <v>0.96</v>
      </c>
      <c r="D8">
        <v>0.006</v>
      </c>
      <c r="E8">
        <v>0.463</v>
      </c>
      <c r="F8">
        <v>0.024</v>
      </c>
      <c r="G8" s="4"/>
      <c r="J8" s="4"/>
      <c r="K8" s="4"/>
      <c r="L8" s="4"/>
      <c r="M8" s="4"/>
      <c r="N8" s="4"/>
      <c r="O8" s="4"/>
      <c r="P8" s="4"/>
      <c r="Q8" s="4"/>
      <c r="R8" s="4"/>
      <c r="S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2.75">
      <c r="A9" t="s">
        <v>29</v>
      </c>
      <c r="B9">
        <v>0</v>
      </c>
      <c r="C9">
        <v>0.96</v>
      </c>
      <c r="D9">
        <v>0.006</v>
      </c>
      <c r="E9">
        <v>0.463</v>
      </c>
      <c r="F9">
        <v>0.024</v>
      </c>
      <c r="J9" s="4"/>
      <c r="K9" s="4"/>
      <c r="L9" s="4"/>
      <c r="M9" s="4"/>
      <c r="N9" s="4"/>
      <c r="O9" s="4"/>
      <c r="P9" s="4"/>
      <c r="Q9" s="4"/>
      <c r="R9" s="4"/>
      <c r="S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0:37" ht="12.75">
      <c r="J10" s="4"/>
      <c r="K10" s="4"/>
      <c r="L10" s="4"/>
      <c r="M10" s="4"/>
      <c r="N10" s="4"/>
      <c r="O10" s="4"/>
      <c r="P10" s="4"/>
      <c r="Q10" s="4"/>
      <c r="R10" s="4"/>
      <c r="S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2.75">
      <c r="A11" t="s">
        <v>30</v>
      </c>
      <c r="D11" s="4"/>
      <c r="E11" s="8"/>
      <c r="J11" s="4"/>
      <c r="K11" s="4"/>
      <c r="L11" s="4"/>
      <c r="M11" s="4"/>
      <c r="N11" s="4"/>
      <c r="O11" s="4"/>
      <c r="P11" s="4"/>
      <c r="Q11" s="4"/>
      <c r="R11" s="4"/>
      <c r="S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2.75">
      <c r="A12" t="s">
        <v>31</v>
      </c>
      <c r="B12">
        <v>0.121</v>
      </c>
      <c r="D12" s="4"/>
      <c r="E12" s="4"/>
      <c r="J12" s="4"/>
      <c r="K12" s="4"/>
      <c r="L12" s="4"/>
      <c r="M12" s="4"/>
      <c r="N12" s="4"/>
      <c r="O12" s="4"/>
      <c r="P12" s="4"/>
      <c r="Q12" s="4"/>
      <c r="R12" s="4"/>
      <c r="S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2.75">
      <c r="A13" t="s">
        <v>32</v>
      </c>
      <c r="B13">
        <v>0.1045</v>
      </c>
      <c r="D13" s="4"/>
      <c r="E13" s="4"/>
      <c r="J13" s="4"/>
      <c r="K13" s="4"/>
      <c r="L13" s="4"/>
      <c r="M13" s="4"/>
      <c r="N13" s="4"/>
      <c r="O13" s="4"/>
      <c r="P13" s="4"/>
      <c r="Q13" s="4"/>
      <c r="R13" s="4"/>
      <c r="S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2.75">
      <c r="A14" t="s">
        <v>4</v>
      </c>
      <c r="B14" s="1">
        <f>SUM(B12:B13)</f>
        <v>0.22549999999999998</v>
      </c>
      <c r="D14" s="4"/>
      <c r="E14" s="4"/>
      <c r="J14" s="4"/>
      <c r="K14" s="4"/>
      <c r="L14" s="4"/>
      <c r="M14" s="4"/>
      <c r="N14" s="4"/>
      <c r="O14" s="4"/>
      <c r="P14" s="4"/>
      <c r="Q14" s="4"/>
      <c r="R14" s="4"/>
      <c r="S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4:37" ht="12.75">
      <c r="D15" s="4"/>
      <c r="E15" s="4"/>
      <c r="J15" s="4"/>
      <c r="K15" s="4"/>
      <c r="L15" s="4"/>
      <c r="M15" s="4"/>
      <c r="N15" s="4"/>
      <c r="O15" s="4"/>
      <c r="P15" s="4"/>
      <c r="Q15" s="4"/>
      <c r="R15" s="4"/>
      <c r="S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4:37" ht="12.75">
      <c r="D16" s="4"/>
      <c r="E16" s="4"/>
      <c r="J16" s="4"/>
      <c r="K16" s="4"/>
      <c r="L16" s="4"/>
      <c r="M16" s="4"/>
      <c r="N16" s="4"/>
      <c r="O16" s="4"/>
      <c r="P16" s="4"/>
      <c r="Q16" s="4"/>
      <c r="R16" s="4"/>
      <c r="S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4:37" ht="12.75">
      <c r="D17" s="4"/>
      <c r="E17" s="4"/>
      <c r="J17" s="4"/>
      <c r="K17" s="4"/>
      <c r="L17" s="4"/>
      <c r="M17" s="4"/>
      <c r="N17" s="4"/>
      <c r="O17" s="4"/>
      <c r="P17" s="4"/>
      <c r="Q17" s="4"/>
      <c r="R17" s="4"/>
      <c r="S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4:37" ht="12.75">
      <c r="D18" s="4"/>
      <c r="E18" s="4"/>
      <c r="J18" s="4"/>
      <c r="K18" s="4"/>
      <c r="L18" s="4"/>
      <c r="M18" s="4"/>
      <c r="N18" s="4"/>
      <c r="O18" s="4"/>
      <c r="P18" s="4"/>
      <c r="Q18" s="4"/>
      <c r="R18" s="4"/>
      <c r="S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0:37" ht="12.75">
      <c r="J19" s="4"/>
      <c r="K19" s="4"/>
      <c r="L19" s="4"/>
      <c r="M19" s="4"/>
      <c r="N19" s="4"/>
      <c r="O19" s="4"/>
      <c r="P19" s="4"/>
      <c r="Q19" s="4"/>
      <c r="R19" s="4"/>
      <c r="S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15" ht="12.75">
      <c r="A20" s="6" t="s">
        <v>7</v>
      </c>
      <c r="H20" s="2"/>
      <c r="J20" s="3"/>
      <c r="K20"/>
      <c r="N20" s="4"/>
      <c r="O20" s="4"/>
    </row>
    <row r="21" spans="2:25" ht="12.75">
      <c r="B21" t="s">
        <v>21</v>
      </c>
      <c r="C21" t="s">
        <v>33</v>
      </c>
      <c r="D21" t="s">
        <v>34</v>
      </c>
      <c r="E21" t="s">
        <v>22</v>
      </c>
      <c r="F21" t="s">
        <v>23</v>
      </c>
      <c r="G21" t="s">
        <v>35</v>
      </c>
      <c r="H21" s="2" t="s">
        <v>36</v>
      </c>
      <c r="I21" t="s">
        <v>37</v>
      </c>
      <c r="J21" s="3" t="s">
        <v>38</v>
      </c>
      <c r="K21" t="s">
        <v>39</v>
      </c>
      <c r="L21" t="s">
        <v>40</v>
      </c>
      <c r="M21" s="3" t="s">
        <v>41</v>
      </c>
      <c r="N21" s="4"/>
      <c r="O21" s="4"/>
      <c r="Q21" t="s">
        <v>42</v>
      </c>
      <c r="R21" t="s">
        <v>43</v>
      </c>
      <c r="S21" s="3" t="s">
        <v>44</v>
      </c>
      <c r="T21" s="9" t="s">
        <v>45</v>
      </c>
      <c r="U21" s="9" t="s">
        <v>46</v>
      </c>
      <c r="V21" s="3" t="s">
        <v>47</v>
      </c>
      <c r="W21" s="10" t="s">
        <v>48</v>
      </c>
      <c r="X21" s="11" t="s">
        <v>49</v>
      </c>
      <c r="Y21" s="9" t="s">
        <v>50</v>
      </c>
    </row>
    <row r="22" spans="2:25" ht="12.75">
      <c r="B22" s="4" t="s">
        <v>27</v>
      </c>
      <c r="C22">
        <v>107709.88699291763</v>
      </c>
      <c r="D22" s="1">
        <f>'life.exp'!G4</f>
        <v>64.29487520239418</v>
      </c>
      <c r="E22" s="1">
        <f>$B$7</f>
        <v>0</v>
      </c>
      <c r="F22" s="1">
        <f>$C$7</f>
        <v>0.96</v>
      </c>
      <c r="G22" s="1">
        <f>E22*F22</f>
        <v>0</v>
      </c>
      <c r="H22" s="2">
        <f>AVERAGE(H29,H43,H50,H57,H64)</f>
        <v>34017</v>
      </c>
      <c r="I22" s="1">
        <f>H22*G22</f>
        <v>0</v>
      </c>
      <c r="J22" s="3">
        <f>I22*$D$7/$B$3*(1-EXP(-$B$3*$B$4))</f>
        <v>0</v>
      </c>
      <c r="K22" s="2">
        <f>AVERAGE(K29,K43,K50,K57,K64)</f>
        <v>34017</v>
      </c>
      <c r="L22" s="1">
        <f>G22*K22</f>
        <v>0</v>
      </c>
      <c r="M22" s="3">
        <f>L22*$E$7/$B$3*(1-EXP(-$B$3*$B$4))</f>
        <v>0</v>
      </c>
      <c r="N22" s="4"/>
      <c r="O22" s="4"/>
      <c r="Q22" s="4">
        <f>AVERAGE(Q29,Q43,Q50,Q57,Q64)</f>
        <v>6359</v>
      </c>
      <c r="R22" s="1">
        <f>Q22*G22</f>
        <v>0</v>
      </c>
      <c r="S22" s="3">
        <f>R22*$F$7/$B$3/20*(1-EXP(-$B$3*$B$4))</f>
        <v>0</v>
      </c>
      <c r="T22" s="4">
        <f>AVERAGE(T29,T43,T50,T57,T64)</f>
        <v>6.3</v>
      </c>
      <c r="U22" s="4">
        <f>T22*E22</f>
        <v>0</v>
      </c>
      <c r="V22" s="3">
        <f>G22*T22*(1/$B$3)*(1-EXP(-$B$3*$B$4))</f>
        <v>0</v>
      </c>
      <c r="W22" s="3">
        <f>S22+M22+J22+V22</f>
        <v>0</v>
      </c>
      <c r="X22" s="5">
        <f>E22*C22*$B$14/$B$3*(1-EXP(-$B$3*$B$4))</f>
        <v>0</v>
      </c>
      <c r="Y22" s="1" t="e">
        <f>X22/W22</f>
        <v>#DIV/0!</v>
      </c>
    </row>
    <row r="23" spans="2:25" ht="12.75">
      <c r="B23" s="4" t="s">
        <v>28</v>
      </c>
      <c r="C23">
        <v>210012.83861139108</v>
      </c>
      <c r="D23" s="1">
        <f>'life.exp'!G5</f>
        <v>59.16846093762806</v>
      </c>
      <c r="E23" s="1">
        <f>$B$8</f>
        <v>0.2</v>
      </c>
      <c r="F23" s="1">
        <f>$C$8</f>
        <v>0.96</v>
      </c>
      <c r="G23" s="1">
        <f>E23*F23</f>
        <v>0.192</v>
      </c>
      <c r="H23" s="2">
        <f>AVERAGE(H30,H44,H51,H58,H65)</f>
        <v>28291</v>
      </c>
      <c r="I23" s="1">
        <f>H23*G23</f>
        <v>5431.872</v>
      </c>
      <c r="J23" s="3">
        <f>I23*$D$8/$B$3*(1-EXP(-$B$3*$B$4))</f>
        <v>151.3232885360137</v>
      </c>
      <c r="K23" s="2">
        <f>AVERAGE(K30,K44,K51,K58,K65)</f>
        <v>28291</v>
      </c>
      <c r="L23" s="1">
        <f>G23*K23</f>
        <v>5431.872</v>
      </c>
      <c r="M23" s="3">
        <f>L23*$E$8/$B$3*(1-EXP(-$B$3*$B$4))</f>
        <v>11677.11376536239</v>
      </c>
      <c r="N23" s="4"/>
      <c r="O23" s="4"/>
      <c r="Q23" s="4">
        <f>AVERAGE(Q30,Q44,Q51,Q58,Q65)</f>
        <v>6834</v>
      </c>
      <c r="R23" s="1">
        <f>Q23*G23</f>
        <v>1312.128</v>
      </c>
      <c r="S23" s="3">
        <f>R23*$F$8/$B$3/20*(1-EXP(-$B$3*$B$4))</f>
        <v>7.310758572373669</v>
      </c>
      <c r="T23" s="4">
        <f>AVERAGE(T30,T44,T51,T58,T65)</f>
        <v>5.9</v>
      </c>
      <c r="U23" s="4">
        <f>T23*E23</f>
        <v>1.1800000000000002</v>
      </c>
      <c r="V23" s="3">
        <f>G23*T23*(1/$B$3)*(1-EXP(-$B$3*$B$4))</f>
        <v>5.259666810189818</v>
      </c>
      <c r="W23" s="3">
        <f>S23+M23+J23+V23</f>
        <v>11841.007479280968</v>
      </c>
      <c r="X23" s="5">
        <f>E23*C23*$B$14/$B$3*(1-EXP(-$B$3*$B$4))</f>
        <v>43977.18027790395</v>
      </c>
      <c r="Y23" s="1">
        <f>X23/W23</f>
        <v>3.713972848581835</v>
      </c>
    </row>
    <row r="24" spans="2:25" ht="12.75">
      <c r="B24" t="s">
        <v>29</v>
      </c>
      <c r="C24">
        <v>682277.2743956918</v>
      </c>
      <c r="D24" s="1">
        <f>'life.exp'!G6</f>
        <v>34.967698247695</v>
      </c>
      <c r="E24" s="1">
        <f>$B$9</f>
        <v>0</v>
      </c>
      <c r="F24" s="1">
        <f>$C$9</f>
        <v>0.96</v>
      </c>
      <c r="G24" s="1">
        <f>E24*F24</f>
        <v>0</v>
      </c>
      <c r="H24" s="2">
        <f>AVERAGE(H31,H45,H52,H59,H66)</f>
        <v>7299</v>
      </c>
      <c r="I24" s="1">
        <f>H24*G24</f>
        <v>0</v>
      </c>
      <c r="J24" s="3">
        <f>I24*$D$9/$B$3*(1-EXP(-$B$3*$B$4))</f>
        <v>0</v>
      </c>
      <c r="K24" s="2">
        <f>AVERAGE(K31,K45,K52,K59,K66)</f>
        <v>7299</v>
      </c>
      <c r="L24" s="1">
        <f>G24*K24</f>
        <v>0</v>
      </c>
      <c r="M24" s="3">
        <f>L24*$E$9/$B$3*(1-EXP(-$B$3*$B$4))</f>
        <v>0</v>
      </c>
      <c r="N24" s="4"/>
      <c r="O24" s="4"/>
      <c r="Q24" s="4">
        <f>AVERAGE(Q31,Q45,Q52,Q59,Q66)</f>
        <v>198</v>
      </c>
      <c r="R24" s="1">
        <f>Q24*G24</f>
        <v>0</v>
      </c>
      <c r="S24" s="3">
        <f>R24*$F$9/$B$3/20*(1-EXP(-$B$3*$B$4))</f>
        <v>0</v>
      </c>
      <c r="T24" s="4">
        <f>AVERAGE(T31,T45,T52,T59,T66)</f>
        <v>0.25199999999999995</v>
      </c>
      <c r="U24" s="4">
        <f>T24*E24</f>
        <v>0</v>
      </c>
      <c r="V24" s="3">
        <f>G24*T24*(1/$B$3)*(1-EXP(-$B$3*$B$4))</f>
        <v>0</v>
      </c>
      <c r="W24" s="3">
        <f>S24+M24+J24+V24</f>
        <v>0</v>
      </c>
      <c r="X24" s="5">
        <f>E24*C24*$B$14/$B$3*(1-EXP(-$B$3*$B$4))</f>
        <v>0</v>
      </c>
      <c r="Y24" s="1" t="e">
        <f>X24/W24</f>
        <v>#DIV/0!</v>
      </c>
    </row>
    <row r="25" spans="2:27" ht="12.75">
      <c r="B25" t="s">
        <v>4</v>
      </c>
      <c r="C25" s="1">
        <f>SUM(C22:C24)</f>
        <v>1000000.0000000005</v>
      </c>
      <c r="H25" s="2"/>
      <c r="I25" s="4">
        <f>SUM(I22:I24)</f>
        <v>5431.872</v>
      </c>
      <c r="J25" s="3">
        <f>SUM(J22:J24)</f>
        <v>151.3232885360137</v>
      </c>
      <c r="K25" s="4"/>
      <c r="L25" s="4">
        <f>SUM(L22:L24)</f>
        <v>5431.872</v>
      </c>
      <c r="M25" s="3">
        <f>SUM(M22:M24)</f>
        <v>11677.11376536239</v>
      </c>
      <c r="N25" s="4"/>
      <c r="O25" s="4"/>
      <c r="Q25" s="4"/>
      <c r="R25" s="4">
        <f>SUM(R22:R24)</f>
        <v>1312.128</v>
      </c>
      <c r="S25" s="3">
        <f>SUM(S22:S24)</f>
        <v>7.310758572373669</v>
      </c>
      <c r="U25" s="4">
        <f>SUM(U22:U24)</f>
        <v>1.1800000000000002</v>
      </c>
      <c r="W25" s="3">
        <f>SUM(W22:W24)</f>
        <v>11841.007479280968</v>
      </c>
      <c r="X25" s="5">
        <f>SUM(X22:X24)</f>
        <v>43977.18027790395</v>
      </c>
      <c r="Y25" s="1">
        <f>X25/W25</f>
        <v>3.713972848581835</v>
      </c>
      <c r="AA25" s="1">
        <f>M25/W25</f>
        <v>0.9861588032770561</v>
      </c>
    </row>
    <row r="26" spans="8:18" ht="12.75">
      <c r="H26" s="2"/>
      <c r="I26" s="4"/>
      <c r="J26" s="3"/>
      <c r="K26" s="8"/>
      <c r="L26" s="8"/>
      <c r="N26" s="4"/>
      <c r="O26" s="4"/>
      <c r="Q26" s="4"/>
      <c r="R26" s="4"/>
    </row>
    <row r="27" spans="1:18" ht="12.75">
      <c r="A27" s="6" t="s">
        <v>8</v>
      </c>
      <c r="G27" s="4"/>
      <c r="H27" s="2"/>
      <c r="I27" s="4"/>
      <c r="J27" s="3"/>
      <c r="K27" s="4"/>
      <c r="L27" s="4"/>
      <c r="N27" s="4"/>
      <c r="O27" s="4"/>
      <c r="Q27" s="4"/>
      <c r="R27" s="4"/>
    </row>
    <row r="28" spans="2:25" ht="12.75">
      <c r="B28" t="s">
        <v>21</v>
      </c>
      <c r="C28" t="s">
        <v>33</v>
      </c>
      <c r="D28" t="s">
        <v>34</v>
      </c>
      <c r="E28" t="s">
        <v>22</v>
      </c>
      <c r="F28" t="s">
        <v>23</v>
      </c>
      <c r="G28" t="s">
        <v>35</v>
      </c>
      <c r="H28" s="2" t="s">
        <v>36</v>
      </c>
      <c r="I28" t="s">
        <v>37</v>
      </c>
      <c r="J28" s="3" t="s">
        <v>38</v>
      </c>
      <c r="K28" t="s">
        <v>39</v>
      </c>
      <c r="L28" t="s">
        <v>40</v>
      </c>
      <c r="M28" s="3" t="s">
        <v>41</v>
      </c>
      <c r="N28" s="4"/>
      <c r="O28" s="4"/>
      <c r="Q28" t="s">
        <v>42</v>
      </c>
      <c r="R28" t="s">
        <v>43</v>
      </c>
      <c r="S28" s="3" t="s">
        <v>44</v>
      </c>
      <c r="T28" s="9" t="s">
        <v>45</v>
      </c>
      <c r="U28" s="9" t="s">
        <v>46</v>
      </c>
      <c r="V28" s="3" t="s">
        <v>47</v>
      </c>
      <c r="W28" s="10" t="s">
        <v>48</v>
      </c>
      <c r="X28" s="11" t="s">
        <v>49</v>
      </c>
      <c r="Y28" s="9" t="s">
        <v>50</v>
      </c>
    </row>
    <row r="29" spans="2:25" ht="12.75">
      <c r="B29" s="4" t="s">
        <v>27</v>
      </c>
      <c r="C29">
        <v>83551.02972333267</v>
      </c>
      <c r="D29" s="1">
        <f>'life.exp'!G29</f>
        <v>69.0636264019544</v>
      </c>
      <c r="E29" s="1">
        <f>$B$7</f>
        <v>0</v>
      </c>
      <c r="F29" s="1">
        <f>$C$7</f>
        <v>0.96</v>
      </c>
      <c r="G29" s="1">
        <f>E29*F29</f>
        <v>0</v>
      </c>
      <c r="H29" s="2">
        <v>62885</v>
      </c>
      <c r="I29" s="1">
        <f>H29*G29</f>
        <v>0</v>
      </c>
      <c r="J29" s="3">
        <f>I29*$D$7/$B$3*(1-EXP(-$B$3*$B$4))</f>
        <v>0</v>
      </c>
      <c r="K29" s="2">
        <v>62885</v>
      </c>
      <c r="L29" s="1">
        <f>G29*K29</f>
        <v>0</v>
      </c>
      <c r="M29" s="3">
        <f>L29*$E$7/$B$3*(1-EXP(-$B$3*$B$4))</f>
        <v>0</v>
      </c>
      <c r="N29" s="4"/>
      <c r="O29" s="4"/>
      <c r="Q29">
        <v>12125</v>
      </c>
      <c r="R29" s="1">
        <f>Q29*G29</f>
        <v>0</v>
      </c>
      <c r="S29" s="3">
        <f>R29*$F$7/$B$3/20*(1-EXP(-$B$3*$B$4))</f>
        <v>0</v>
      </c>
      <c r="T29" s="4">
        <v>11.5</v>
      </c>
      <c r="U29" s="4">
        <f>T29*E29</f>
        <v>0</v>
      </c>
      <c r="V29" s="3">
        <f>G29*T29*(1/$B$3)*(1-EXP(-$B$3*$B$4))</f>
        <v>0</v>
      </c>
      <c r="W29" s="3">
        <f>S29+M29+J29+V29</f>
        <v>0</v>
      </c>
      <c r="X29" s="5">
        <f>E29*C29*$B$14/$B$3*(1-EXP(-$B$3*$B$4))</f>
        <v>0</v>
      </c>
      <c r="Y29" s="1" t="e">
        <f>X29/W29</f>
        <v>#DIV/0!</v>
      </c>
    </row>
    <row r="30" spans="2:25" ht="12.75">
      <c r="B30" s="4" t="s">
        <v>28</v>
      </c>
      <c r="C30">
        <v>181883.38842745117</v>
      </c>
      <c r="D30" s="1">
        <f>'life.exp'!G30</f>
        <v>62.494256729949576</v>
      </c>
      <c r="E30" s="1">
        <f>$B$8</f>
        <v>0.2</v>
      </c>
      <c r="F30" s="1">
        <f>$C$8</f>
        <v>0.96</v>
      </c>
      <c r="G30" s="1">
        <f>E30*F30</f>
        <v>0.192</v>
      </c>
      <c r="H30" s="2">
        <v>52815</v>
      </c>
      <c r="I30" s="1">
        <f>H30*G30</f>
        <v>10140.48</v>
      </c>
      <c r="J30" s="3">
        <f>I30*$D$8/$B$3*(1-EXP(-$B$3*$B$4))</f>
        <v>282.49759584424595</v>
      </c>
      <c r="K30" s="2">
        <v>52815</v>
      </c>
      <c r="L30" s="1">
        <f>G30*K30</f>
        <v>10140.48</v>
      </c>
      <c r="M30" s="3">
        <f>L30*$E$8/$B$3*(1-EXP(-$B$3*$B$4))</f>
        <v>21799.397812647647</v>
      </c>
      <c r="N30" s="4"/>
      <c r="O30" s="4"/>
      <c r="Q30">
        <v>13070</v>
      </c>
      <c r="R30" s="1">
        <f>Q30*G30</f>
        <v>2509.44</v>
      </c>
      <c r="S30" s="3">
        <f>R30*$F$8/$B$3/20*(1-EXP(-$B$3*$B$4))</f>
        <v>13.981799025596118</v>
      </c>
      <c r="T30" s="4">
        <v>10.5</v>
      </c>
      <c r="U30" s="4">
        <f>T30*E30</f>
        <v>2.1</v>
      </c>
      <c r="V30" s="3">
        <f>G30*T30*(1/$B$3)*(1-EXP(-$B$3*$B$4))</f>
        <v>9.360423984236116</v>
      </c>
      <c r="W30" s="3">
        <f>S30+M30+J30+V30</f>
        <v>22105.237631501725</v>
      </c>
      <c r="X30" s="5">
        <f>E30*C30*$B$14/$B$3*(1-EXP(-$B$3*$B$4))</f>
        <v>38086.807527186094</v>
      </c>
      <c r="Y30" s="1">
        <f>X30/W30</f>
        <v>1.722976615863625</v>
      </c>
    </row>
    <row r="31" spans="2:25" ht="12.75">
      <c r="B31" t="s">
        <v>29</v>
      </c>
      <c r="C31">
        <v>734565.5818492161</v>
      </c>
      <c r="D31" s="1">
        <f>'life.exp'!G31</f>
        <v>35.87312438800519</v>
      </c>
      <c r="E31" s="1">
        <f>$B$9</f>
        <v>0</v>
      </c>
      <c r="F31" s="1">
        <f>$C$9</f>
        <v>0.96</v>
      </c>
      <c r="G31" s="1">
        <f>E31*F31</f>
        <v>0</v>
      </c>
      <c r="H31" s="2">
        <v>13605</v>
      </c>
      <c r="I31" s="1">
        <f>H31*G31</f>
        <v>0</v>
      </c>
      <c r="J31" s="3">
        <f>I31*$D$9/$B$3*(1-EXP(-$B$3*$B$4))</f>
        <v>0</v>
      </c>
      <c r="K31" s="2">
        <v>13605</v>
      </c>
      <c r="L31" s="1">
        <f>G31*K31</f>
        <v>0</v>
      </c>
      <c r="M31" s="3">
        <f>L31*$E$9/$B$3*(1-EXP(-$B$3*$B$4))</f>
        <v>0</v>
      </c>
      <c r="N31" s="4"/>
      <c r="O31" s="4"/>
      <c r="Q31">
        <v>390</v>
      </c>
      <c r="R31" s="1">
        <f>Q31*G31</f>
        <v>0</v>
      </c>
      <c r="S31" s="3">
        <f>R31*$F$9/$B$3/20*(1-EXP(-$B$3*$B$4))</f>
        <v>0</v>
      </c>
      <c r="T31" s="4">
        <v>0.45</v>
      </c>
      <c r="U31" s="4">
        <f>T31*E31</f>
        <v>0</v>
      </c>
      <c r="V31" s="3">
        <f>G31*T31*(1/$B$3)*(1-EXP(-$B$3*$B$4))</f>
        <v>0</v>
      </c>
      <c r="W31" s="3">
        <f>S31+M31+J31+V31</f>
        <v>0</v>
      </c>
      <c r="X31" s="5">
        <f>E31*C31*$B$14/$B$3*(1-EXP(-$B$3*$B$4))</f>
        <v>0</v>
      </c>
      <c r="Y31" s="1" t="e">
        <f>X31/W31</f>
        <v>#DIV/0!</v>
      </c>
    </row>
    <row r="32" spans="2:27" ht="12.75">
      <c r="B32" t="s">
        <v>4</v>
      </c>
      <c r="C32" s="1">
        <f>SUM(C29:C31)</f>
        <v>1000000</v>
      </c>
      <c r="H32" s="2"/>
      <c r="I32" s="4">
        <f>SUM(I29:I31)</f>
        <v>10140.48</v>
      </c>
      <c r="J32" s="3">
        <f>SUM(J29:J31)</f>
        <v>282.49759584424595</v>
      </c>
      <c r="K32" s="4"/>
      <c r="L32" s="4">
        <f>SUM(L29:L31)</f>
        <v>10140.48</v>
      </c>
      <c r="M32" s="3">
        <f>SUM(M29:M31)</f>
        <v>21799.397812647647</v>
      </c>
      <c r="N32" s="4"/>
      <c r="O32" s="4"/>
      <c r="Q32" s="4"/>
      <c r="R32" s="4">
        <f>SUM(R29:R31)</f>
        <v>2509.44</v>
      </c>
      <c r="S32" s="3">
        <f>SUM(S29:S31)</f>
        <v>13.981799025596118</v>
      </c>
      <c r="U32" s="4">
        <f>SUM(U29:U31)</f>
        <v>2.1</v>
      </c>
      <c r="W32" s="3">
        <f>SUM(W29:W31)</f>
        <v>22105.237631501725</v>
      </c>
      <c r="X32" s="5">
        <f>SUM(X29:X31)</f>
        <v>38086.807527186094</v>
      </c>
      <c r="Y32" s="1">
        <f>X32/W32</f>
        <v>1.722976615863625</v>
      </c>
      <c r="AA32" s="1">
        <f>M32/W32</f>
        <v>0.9861643731701744</v>
      </c>
    </row>
    <row r="33" spans="8:18" ht="12.75">
      <c r="H33" s="2"/>
      <c r="J33" s="3"/>
      <c r="K33" s="12"/>
      <c r="L33" s="12"/>
      <c r="N33" s="4"/>
      <c r="O33" s="4"/>
      <c r="Q33" s="4"/>
      <c r="R33" s="4"/>
    </row>
    <row r="34" spans="1:15" ht="12.75">
      <c r="A34" s="6" t="s">
        <v>51</v>
      </c>
      <c r="F34" s="4"/>
      <c r="G34" s="4"/>
      <c r="H34" s="2"/>
      <c r="J34" s="3"/>
      <c r="K34"/>
      <c r="N34" s="4"/>
      <c r="O34" s="4"/>
    </row>
    <row r="35" spans="2:25" ht="12.75">
      <c r="B35" t="s">
        <v>21</v>
      </c>
      <c r="C35" t="s">
        <v>33</v>
      </c>
      <c r="D35" t="s">
        <v>34</v>
      </c>
      <c r="E35" t="s">
        <v>22</v>
      </c>
      <c r="F35" t="s">
        <v>23</v>
      </c>
      <c r="G35" t="s">
        <v>35</v>
      </c>
      <c r="H35" s="2" t="s">
        <v>36</v>
      </c>
      <c r="I35" t="s">
        <v>37</v>
      </c>
      <c r="J35" s="3" t="s">
        <v>38</v>
      </c>
      <c r="K35" t="s">
        <v>39</v>
      </c>
      <c r="L35" t="s">
        <v>40</v>
      </c>
      <c r="M35" s="3" t="s">
        <v>41</v>
      </c>
      <c r="N35" s="4"/>
      <c r="O35" s="4"/>
      <c r="Q35" t="s">
        <v>42</v>
      </c>
      <c r="R35" t="s">
        <v>43</v>
      </c>
      <c r="S35" s="3" t="s">
        <v>44</v>
      </c>
      <c r="T35" s="9" t="s">
        <v>45</v>
      </c>
      <c r="U35" s="9" t="s">
        <v>46</v>
      </c>
      <c r="V35" s="3" t="s">
        <v>47</v>
      </c>
      <c r="W35" s="10" t="s">
        <v>48</v>
      </c>
      <c r="X35" s="11" t="s">
        <v>49</v>
      </c>
      <c r="Y35" s="9" t="s">
        <v>50</v>
      </c>
    </row>
    <row r="36" spans="2:25" ht="12.75">
      <c r="B36" s="4" t="s">
        <v>27</v>
      </c>
      <c r="C36">
        <v>61780.399893318674</v>
      </c>
      <c r="D36" s="1">
        <f>'life.exp'!G54</f>
        <v>67.26788407934288</v>
      </c>
      <c r="E36" s="1">
        <f>$B$7</f>
        <v>0</v>
      </c>
      <c r="F36" s="1">
        <f>$C$7</f>
        <v>0.96</v>
      </c>
      <c r="G36" s="1">
        <f>E36*F36</f>
        <v>0</v>
      </c>
      <c r="H36" s="2">
        <f>AVERAGE(H29,H43,H50,H57,H64)</f>
        <v>34017</v>
      </c>
      <c r="I36" s="1">
        <f>H36*G36</f>
        <v>0</v>
      </c>
      <c r="J36" s="3">
        <f>I36*$D$7/$B$3*(1-EXP(-$B$3*$B$4))</f>
        <v>0</v>
      </c>
      <c r="K36" s="2">
        <f>AVERAGE(K29,K43,K50,K57,K64)</f>
        <v>34017</v>
      </c>
      <c r="L36" s="1">
        <f>G36*K36</f>
        <v>0</v>
      </c>
      <c r="M36" s="3">
        <f>L36*$E$7/$B$3*(1-EXP(-$B$3*$B$4))</f>
        <v>0</v>
      </c>
      <c r="N36" s="4"/>
      <c r="O36" s="4"/>
      <c r="Q36" s="4">
        <f>AVERAGE(Q29,Q43,Q50,Q57,Q64)</f>
        <v>6359</v>
      </c>
      <c r="R36" s="1">
        <f>Q36*G36</f>
        <v>0</v>
      </c>
      <c r="S36" s="3">
        <f>R36*$F$7/$B$3/20*(1-EXP(-$B$3*$B$4))</f>
        <v>0</v>
      </c>
      <c r="T36" s="4">
        <f>AVERAGE(T29,T43,T50,T57,T64)</f>
        <v>6.3</v>
      </c>
      <c r="U36" s="4">
        <f>T36*E36</f>
        <v>0</v>
      </c>
      <c r="V36" s="3">
        <f>G36*T36*(1/$B$3)*(1-EXP(-$B$3*$B$4))</f>
        <v>0</v>
      </c>
      <c r="W36" s="3">
        <f>S36+M36+J36+V36</f>
        <v>0</v>
      </c>
      <c r="X36" s="5">
        <f>E36*C36*$B$14/$B$3*(1-EXP(-$B$3*$B$4))</f>
        <v>0</v>
      </c>
      <c r="Y36" s="1" t="e">
        <f>X36/W36</f>
        <v>#DIV/0!</v>
      </c>
    </row>
    <row r="37" spans="2:25" ht="12.75">
      <c r="B37" s="4" t="s">
        <v>28</v>
      </c>
      <c r="C37">
        <v>155937.1397196067</v>
      </c>
      <c r="D37" s="1">
        <f>'life.exp'!G55</f>
        <v>60.39877599778313</v>
      </c>
      <c r="E37" s="1">
        <f>$B$8</f>
        <v>0.2</v>
      </c>
      <c r="F37" s="1">
        <f>$C$8</f>
        <v>0.96</v>
      </c>
      <c r="G37" s="1">
        <f>E37*F37</f>
        <v>0.192</v>
      </c>
      <c r="H37" s="2">
        <f>AVERAGE(H30,H44,H51,H58,H65)</f>
        <v>28291</v>
      </c>
      <c r="I37" s="1">
        <f>H37*G37</f>
        <v>5431.872</v>
      </c>
      <c r="J37" s="3">
        <f>I37*$D$8/$B$3*(1-EXP(-$B$3*$B$4))</f>
        <v>151.3232885360137</v>
      </c>
      <c r="K37" s="2">
        <f>AVERAGE(K30,K44,K51,K58,K65)</f>
        <v>28291</v>
      </c>
      <c r="L37" s="1">
        <f>G37*K37</f>
        <v>5431.872</v>
      </c>
      <c r="M37" s="3">
        <f>L37*$E$8/$B$3*(1-EXP(-$B$3*$B$4))</f>
        <v>11677.11376536239</v>
      </c>
      <c r="N37" s="4"/>
      <c r="O37" s="4"/>
      <c r="Q37" s="4">
        <f>AVERAGE(Q30,Q44,Q51,Q58,Q65)</f>
        <v>6834</v>
      </c>
      <c r="R37" s="1">
        <f>Q37*G37</f>
        <v>1312.128</v>
      </c>
      <c r="S37" s="3">
        <f>R37*$F$8/$B$3/20*(1-EXP(-$B$3*$B$4))</f>
        <v>7.310758572373669</v>
      </c>
      <c r="T37" s="4">
        <f>AVERAGE(T30,T44,T51,T58,T65)</f>
        <v>5.9</v>
      </c>
      <c r="U37" s="4">
        <f>T37*E37</f>
        <v>1.1800000000000002</v>
      </c>
      <c r="V37" s="3">
        <f>G37*T37*(1/$B$3)*(1-EXP(-$B$3*$B$4))</f>
        <v>5.259666810189818</v>
      </c>
      <c r="W37" s="3">
        <f>S37+M37+J37+V37</f>
        <v>11841.007479280968</v>
      </c>
      <c r="X37" s="5">
        <f>E37*C37*$B$14/$B$3*(1-EXP(-$B$3*$B$4))</f>
        <v>32653.60227885554</v>
      </c>
      <c r="Y37" s="1">
        <f>X37/W37</f>
        <v>2.757670944469194</v>
      </c>
    </row>
    <row r="38" spans="2:25" ht="12.75">
      <c r="B38" t="s">
        <v>29</v>
      </c>
      <c r="C38">
        <v>782282.4603870746</v>
      </c>
      <c r="D38" s="1">
        <f>'life.exp'!G56</f>
        <v>32.13095606374863</v>
      </c>
      <c r="E38" s="1">
        <f>$B$9</f>
        <v>0</v>
      </c>
      <c r="F38" s="1">
        <f>$C$9</f>
        <v>0.96</v>
      </c>
      <c r="G38" s="1">
        <f>E38*F38</f>
        <v>0</v>
      </c>
      <c r="H38" s="2">
        <f>AVERAGE(H31,H45,H52,H59,H66)</f>
        <v>7299</v>
      </c>
      <c r="I38" s="1">
        <f>H38*G38</f>
        <v>0</v>
      </c>
      <c r="J38" s="3">
        <f>I38*$D$9/$B$3*(1-EXP(-$B$3*$B$4))</f>
        <v>0</v>
      </c>
      <c r="K38" s="2">
        <f>AVERAGE(K31,K45,K52,K59,K66)</f>
        <v>7299</v>
      </c>
      <c r="L38" s="1">
        <f>G38*K38</f>
        <v>0</v>
      </c>
      <c r="M38" s="3">
        <f>L38*$E$9/$B$3*(1-EXP(-$B$3*$B$4))</f>
        <v>0</v>
      </c>
      <c r="N38" s="4"/>
      <c r="O38" s="4"/>
      <c r="Q38" s="4">
        <f>AVERAGE(Q31,Q45,Q52,Q59,Q66)</f>
        <v>198</v>
      </c>
      <c r="R38" s="1">
        <f>Q38*G38</f>
        <v>0</v>
      </c>
      <c r="S38" s="3">
        <f>R38*$F$9/$B$3/20*(1-EXP(-$B$3*$B$4))</f>
        <v>0</v>
      </c>
      <c r="T38" s="4">
        <f>AVERAGE(T31,T45,T52,T59,T66)</f>
        <v>0.25199999999999995</v>
      </c>
      <c r="U38" s="4">
        <f>T38*E38</f>
        <v>0</v>
      </c>
      <c r="V38" s="3">
        <f>G38*T38*(1/$B$3)*(1-EXP(-$B$3*$B$4))</f>
        <v>0</v>
      </c>
      <c r="W38" s="3">
        <f>S38+M38+J38+V38</f>
        <v>0</v>
      </c>
      <c r="X38" s="5">
        <f>E38*C38*$B$14/$B$3*(1-EXP(-$B$3*$B$4))</f>
        <v>0</v>
      </c>
      <c r="Y38" s="1" t="e">
        <f>X38/W38</f>
        <v>#DIV/0!</v>
      </c>
    </row>
    <row r="39" spans="2:27" ht="12.75">
      <c r="B39" t="s">
        <v>4</v>
      </c>
      <c r="C39" s="1">
        <f>SUM(C36:C38)</f>
        <v>1000000</v>
      </c>
      <c r="H39" s="2"/>
      <c r="I39" s="4">
        <f>SUM(I36:I38)</f>
        <v>5431.872</v>
      </c>
      <c r="J39" s="3">
        <f>SUM(J36:J38)</f>
        <v>151.3232885360137</v>
      </c>
      <c r="K39" s="4"/>
      <c r="L39" s="4">
        <f>SUM(L36:L38)</f>
        <v>5431.872</v>
      </c>
      <c r="M39" s="3">
        <f>SUM(M36:M38)</f>
        <v>11677.11376536239</v>
      </c>
      <c r="N39" s="4"/>
      <c r="O39" s="4"/>
      <c r="Q39" s="4"/>
      <c r="R39" s="4">
        <f>SUM(R36:R38)</f>
        <v>1312.128</v>
      </c>
      <c r="S39" s="3">
        <f>SUM(S36:S38)</f>
        <v>7.310758572373669</v>
      </c>
      <c r="U39" s="4">
        <f>SUM(U36:U38)</f>
        <v>1.1800000000000002</v>
      </c>
      <c r="W39" s="3">
        <f>SUM(W36:W38)</f>
        <v>11841.007479280968</v>
      </c>
      <c r="X39" s="5">
        <f>SUM(X36:X38)</f>
        <v>32653.60227885554</v>
      </c>
      <c r="Y39" s="1">
        <f>X39/W39</f>
        <v>2.757670944469194</v>
      </c>
      <c r="AA39" s="1">
        <f>M39/W39</f>
        <v>0.9861588032770561</v>
      </c>
    </row>
    <row r="40" spans="8:15" ht="12.75">
      <c r="H40" s="2"/>
      <c r="J40" s="3"/>
      <c r="K40"/>
      <c r="N40" s="4"/>
      <c r="O40" s="4"/>
    </row>
    <row r="41" spans="1:15" ht="12.75">
      <c r="A41" s="6" t="s">
        <v>9</v>
      </c>
      <c r="H41" s="2"/>
      <c r="J41" s="3"/>
      <c r="K41"/>
      <c r="N41" s="4"/>
      <c r="O41" s="4"/>
    </row>
    <row r="42" spans="2:25" ht="12.75">
      <c r="B42" t="s">
        <v>21</v>
      </c>
      <c r="C42" t="s">
        <v>33</v>
      </c>
      <c r="D42" t="s">
        <v>34</v>
      </c>
      <c r="E42" t="s">
        <v>22</v>
      </c>
      <c r="F42" t="s">
        <v>23</v>
      </c>
      <c r="G42" t="s">
        <v>35</v>
      </c>
      <c r="H42" s="2" t="s">
        <v>36</v>
      </c>
      <c r="I42" t="s">
        <v>37</v>
      </c>
      <c r="J42" s="3" t="s">
        <v>38</v>
      </c>
      <c r="K42" t="s">
        <v>39</v>
      </c>
      <c r="L42" t="s">
        <v>40</v>
      </c>
      <c r="M42" s="3" t="s">
        <v>41</v>
      </c>
      <c r="N42" s="4"/>
      <c r="O42" s="4"/>
      <c r="Q42" t="s">
        <v>42</v>
      </c>
      <c r="R42" t="s">
        <v>43</v>
      </c>
      <c r="S42" s="3" t="s">
        <v>44</v>
      </c>
      <c r="T42" s="9" t="s">
        <v>45</v>
      </c>
      <c r="U42" s="9" t="s">
        <v>46</v>
      </c>
      <c r="V42" s="3" t="s">
        <v>47</v>
      </c>
      <c r="W42" s="10" t="s">
        <v>48</v>
      </c>
      <c r="X42" s="11" t="s">
        <v>49</v>
      </c>
      <c r="Y42" s="9" t="s">
        <v>50</v>
      </c>
    </row>
    <row r="43" spans="2:25" ht="12.75">
      <c r="B43" s="4" t="s">
        <v>27</v>
      </c>
      <c r="C43">
        <v>106110.1032996031</v>
      </c>
      <c r="D43" s="1">
        <f>'life.exp'!G79</f>
        <v>70.15859446755853</v>
      </c>
      <c r="E43" s="1">
        <f>$B$7</f>
        <v>0</v>
      </c>
      <c r="F43" s="1">
        <f>$C$7</f>
        <v>0.96</v>
      </c>
      <c r="G43" s="1">
        <f>E43*F43</f>
        <v>0</v>
      </c>
      <c r="H43" s="2">
        <v>53700</v>
      </c>
      <c r="I43" s="1">
        <f>H43*G43</f>
        <v>0</v>
      </c>
      <c r="J43" s="3">
        <f>I43*$D$7/$B$3*(1-EXP(-$B$3*$B$4))</f>
        <v>0</v>
      </c>
      <c r="K43" s="2">
        <v>53700</v>
      </c>
      <c r="L43" s="1">
        <f>G43*K43</f>
        <v>0</v>
      </c>
      <c r="M43" s="3">
        <f>L43*$E$7/$B$3*(1-EXP(-$B$3*$B$4))</f>
        <v>0</v>
      </c>
      <c r="N43" s="4"/>
      <c r="O43" s="4"/>
      <c r="Q43">
        <v>10090</v>
      </c>
      <c r="R43" s="1">
        <f>Q43*G43</f>
        <v>0</v>
      </c>
      <c r="S43" s="3">
        <f>R43*$F$7/$B$3/20*(1-EXP(-$B$3*$B$4))</f>
        <v>0</v>
      </c>
      <c r="T43" s="4">
        <v>10</v>
      </c>
      <c r="U43" s="4">
        <f>T43*E43</f>
        <v>0</v>
      </c>
      <c r="V43" s="3">
        <f>G43*T43*(1/$B$3)*(1-EXP(-$B$3*$B$4))</f>
        <v>0</v>
      </c>
      <c r="W43" s="3">
        <f>S43+M43+J43+V43</f>
        <v>0</v>
      </c>
      <c r="X43" s="5">
        <f>E43*C43*$B$14/$B$3*(1-EXP(-$B$3*$B$4))</f>
        <v>0</v>
      </c>
      <c r="Y43" s="1" t="e">
        <f>X43/W43</f>
        <v>#DIV/0!</v>
      </c>
    </row>
    <row r="44" spans="2:25" ht="12.75">
      <c r="B44" s="4" t="s">
        <v>28</v>
      </c>
      <c r="C44">
        <v>208530.8539251284</v>
      </c>
      <c r="D44" s="1">
        <f>'life.exp'!G80</f>
        <v>63.336155350580114</v>
      </c>
      <c r="E44" s="1">
        <f>$B$8</f>
        <v>0.2</v>
      </c>
      <c r="F44" s="1">
        <f>$C$8</f>
        <v>0.96</v>
      </c>
      <c r="G44" s="1">
        <f>E44*F44</f>
        <v>0.192</v>
      </c>
      <c r="H44" s="2">
        <v>45060</v>
      </c>
      <c r="I44" s="1">
        <f>H44*G44</f>
        <v>8651.52</v>
      </c>
      <c r="J44" s="3">
        <f>I44*$D$8/$B$3*(1-EXP(-$B$3*$B$4))</f>
        <v>241.0175455598168</v>
      </c>
      <c r="K44" s="2">
        <v>45060</v>
      </c>
      <c r="L44" s="1">
        <f>G44*K44</f>
        <v>8651.52</v>
      </c>
      <c r="M44" s="3">
        <f>L44*$E$8/$B$3*(1-EXP(-$B$3*$B$4))</f>
        <v>18598.52059903253</v>
      </c>
      <c r="N44" s="4"/>
      <c r="O44" s="4"/>
      <c r="Q44">
        <v>10830</v>
      </c>
      <c r="R44" s="1">
        <f>Q44*G44</f>
        <v>2079.36</v>
      </c>
      <c r="S44" s="3">
        <f>R44*$F$8/$B$3/20*(1-EXP(-$B$3*$B$4))</f>
        <v>11.585530485631672</v>
      </c>
      <c r="T44" s="4">
        <v>9</v>
      </c>
      <c r="U44" s="4">
        <f>T44*E44</f>
        <v>1.8</v>
      </c>
      <c r="V44" s="3">
        <f>G44*T44*(1/$B$3)*(1-EXP(-$B$3*$B$4))</f>
        <v>8.023220557916671</v>
      </c>
      <c r="W44" s="3">
        <f>S44+M44+J44+V44</f>
        <v>18859.146895635895</v>
      </c>
      <c r="X44" s="5">
        <f>E44*C44*$B$14/$B$3*(1-EXP(-$B$3*$B$4))</f>
        <v>43666.84921363286</v>
      </c>
      <c r="Y44" s="1">
        <f>X44/W44</f>
        <v>2.315420175434213</v>
      </c>
    </row>
    <row r="45" spans="2:25" ht="12.75">
      <c r="B45" t="s">
        <v>29</v>
      </c>
      <c r="C45">
        <v>685359.0427752687</v>
      </c>
      <c r="D45" s="1">
        <f>'life.exp'!G81</f>
        <v>37.80900613080272</v>
      </c>
      <c r="E45" s="1">
        <f>$B$9</f>
        <v>0</v>
      </c>
      <c r="F45" s="1">
        <f>$C$9</f>
        <v>0.96</v>
      </c>
      <c r="G45" s="1">
        <f>E45*F45</f>
        <v>0</v>
      </c>
      <c r="H45" s="2">
        <v>11700</v>
      </c>
      <c r="I45" s="1">
        <f>H45*G45</f>
        <v>0</v>
      </c>
      <c r="J45" s="3">
        <f>I45*$D$9/$B$3*(1-EXP(-$B$3*$B$4))</f>
        <v>0</v>
      </c>
      <c r="K45" s="2">
        <v>11700</v>
      </c>
      <c r="L45" s="1">
        <f>G45*K45</f>
        <v>0</v>
      </c>
      <c r="M45" s="3">
        <f>L45*$E$9/$B$3*(1-EXP(-$B$3*$B$4))</f>
        <v>0</v>
      </c>
      <c r="N45" s="4"/>
      <c r="O45" s="4"/>
      <c r="Q45">
        <v>330</v>
      </c>
      <c r="R45" s="1">
        <f>Q45*G45</f>
        <v>0</v>
      </c>
      <c r="S45" s="3">
        <f>R45*$F$9/$B$3/20*(1-EXP(-$B$3*$B$4))</f>
        <v>0</v>
      </c>
      <c r="T45" s="4">
        <v>0.3</v>
      </c>
      <c r="U45" s="4">
        <f>T45*E45</f>
        <v>0</v>
      </c>
      <c r="V45" s="3">
        <f>G45*T45*(1/$B$3)*(1-EXP(-$B$3*$B$4))</f>
        <v>0</v>
      </c>
      <c r="W45" s="3">
        <f>S45+M45+J45+V45</f>
        <v>0</v>
      </c>
      <c r="X45" s="5">
        <f>E45*C45*$B$14/$B$3*(1-EXP(-$B$3*$B$4))</f>
        <v>0</v>
      </c>
      <c r="Y45" s="1" t="e">
        <f>X45/W45</f>
        <v>#DIV/0!</v>
      </c>
    </row>
    <row r="46" spans="2:27" ht="12.75">
      <c r="B46" t="s">
        <v>4</v>
      </c>
      <c r="C46" s="1">
        <f>SUM(C43:C45)</f>
        <v>1000000.0000000002</v>
      </c>
      <c r="H46" s="2"/>
      <c r="I46" s="4">
        <f>SUM(I43:I45)</f>
        <v>8651.52</v>
      </c>
      <c r="J46" s="3">
        <f>SUM(J43:J45)</f>
        <v>241.0175455598168</v>
      </c>
      <c r="K46" s="4"/>
      <c r="L46" s="4">
        <f>SUM(L43:L45)</f>
        <v>8651.52</v>
      </c>
      <c r="M46" s="3">
        <f>SUM(M43:M45)</f>
        <v>18598.52059903253</v>
      </c>
      <c r="N46" s="4"/>
      <c r="O46" s="4"/>
      <c r="Q46" s="4"/>
      <c r="R46" s="4">
        <f>SUM(R43:R45)</f>
        <v>2079.36</v>
      </c>
      <c r="S46" s="3">
        <f>SUM(S43:S45)</f>
        <v>11.585530485631672</v>
      </c>
      <c r="U46" s="4">
        <f>SUM(U43:U45)</f>
        <v>1.8</v>
      </c>
      <c r="W46" s="3">
        <f>SUM(W43:W45)</f>
        <v>18859.146895635895</v>
      </c>
      <c r="X46" s="5">
        <f>SUM(X43:X45)</f>
        <v>43666.84921363286</v>
      </c>
      <c r="Y46" s="1">
        <f>X46/W46</f>
        <v>2.315420175434213</v>
      </c>
      <c r="AA46" s="1">
        <f>M46/W46</f>
        <v>0.9861803771906738</v>
      </c>
    </row>
    <row r="47" spans="8:15" ht="12.75">
      <c r="H47" s="2"/>
      <c r="J47" s="3"/>
      <c r="K47"/>
      <c r="N47" s="4"/>
      <c r="O47" s="4"/>
    </row>
    <row r="48" spans="1:15" ht="12.75">
      <c r="A48" s="6" t="s">
        <v>10</v>
      </c>
      <c r="G48" s="4"/>
      <c r="H48" s="2"/>
      <c r="J48" s="3"/>
      <c r="K48"/>
      <c r="N48" s="4"/>
      <c r="O48" s="4"/>
    </row>
    <row r="49" spans="2:25" ht="12.75">
      <c r="B49" t="s">
        <v>21</v>
      </c>
      <c r="C49" t="s">
        <v>33</v>
      </c>
      <c r="D49" t="s">
        <v>34</v>
      </c>
      <c r="E49" t="s">
        <v>22</v>
      </c>
      <c r="F49" t="s">
        <v>23</v>
      </c>
      <c r="G49" t="s">
        <v>35</v>
      </c>
      <c r="H49" s="2" t="s">
        <v>36</v>
      </c>
      <c r="I49" t="s">
        <v>37</v>
      </c>
      <c r="J49" s="3" t="s">
        <v>38</v>
      </c>
      <c r="K49" t="s">
        <v>39</v>
      </c>
      <c r="L49" t="s">
        <v>40</v>
      </c>
      <c r="M49" s="3" t="s">
        <v>41</v>
      </c>
      <c r="N49" s="4"/>
      <c r="O49" s="4"/>
      <c r="Q49" t="s">
        <v>42</v>
      </c>
      <c r="R49" t="s">
        <v>43</v>
      </c>
      <c r="S49" s="3" t="s">
        <v>44</v>
      </c>
      <c r="T49" s="9" t="s">
        <v>45</v>
      </c>
      <c r="U49" s="9" t="s">
        <v>46</v>
      </c>
      <c r="V49" s="3" t="s">
        <v>47</v>
      </c>
      <c r="W49" s="10" t="s">
        <v>48</v>
      </c>
      <c r="X49" s="11" t="s">
        <v>49</v>
      </c>
      <c r="Y49" s="9" t="s">
        <v>50</v>
      </c>
    </row>
    <row r="50" spans="2:25" ht="12.75">
      <c r="B50" s="4" t="s">
        <v>27</v>
      </c>
      <c r="C50">
        <v>120352.6129380068</v>
      </c>
      <c r="D50" s="1">
        <f>'life.exp'!G104</f>
        <v>68.46021185347429</v>
      </c>
      <c r="E50" s="1">
        <f>$B$7</f>
        <v>0</v>
      </c>
      <c r="F50" s="1">
        <f>$C$7</f>
        <v>0.96</v>
      </c>
      <c r="G50" s="1">
        <f>E50*F50</f>
        <v>0</v>
      </c>
      <c r="H50" s="2">
        <v>15570</v>
      </c>
      <c r="I50" s="1">
        <f>H50*G50</f>
        <v>0</v>
      </c>
      <c r="J50" s="3">
        <f>I50*$D$7/$B$3*(1-EXP(-$B$3*$B$4))</f>
        <v>0</v>
      </c>
      <c r="K50" s="2">
        <v>15570</v>
      </c>
      <c r="L50" s="1">
        <f>G50*K50</f>
        <v>0</v>
      </c>
      <c r="M50" s="3">
        <f>L50*$E$7/$B$3*(1-EXP(-$B$3*$B$4))</f>
        <v>0</v>
      </c>
      <c r="N50" s="4"/>
      <c r="O50" s="4"/>
      <c r="Q50">
        <v>2800</v>
      </c>
      <c r="R50" s="1">
        <f>Q50*G50</f>
        <v>0</v>
      </c>
      <c r="S50" s="3">
        <f>R50*$F$7/$B$3/20*(1-EXP(-$B$3*$B$4))</f>
        <v>0</v>
      </c>
      <c r="T50" s="4">
        <v>3</v>
      </c>
      <c r="U50" s="4">
        <f>T50*E50</f>
        <v>0</v>
      </c>
      <c r="V50" s="3">
        <f>G50*T50*(1/$B$3)*(1-EXP(-$B$3*$B$4))</f>
        <v>0</v>
      </c>
      <c r="W50" s="3">
        <f>S50+M50+J50+V50</f>
        <v>0</v>
      </c>
      <c r="X50" s="5">
        <f>E50*C50*$B$14/$B$3*(1-EXP(-$B$3*$B$4))</f>
        <v>0</v>
      </c>
      <c r="Y50" s="1" t="e">
        <f>X50/W50</f>
        <v>#DIV/0!</v>
      </c>
    </row>
    <row r="51" spans="2:25" ht="12.75">
      <c r="B51" s="4" t="s">
        <v>28</v>
      </c>
      <c r="C51">
        <v>243729.4123397523</v>
      </c>
      <c r="D51" s="1">
        <f>'life.exp'!G105</f>
        <v>62.24653431708676</v>
      </c>
      <c r="E51" s="1">
        <f>$B$8</f>
        <v>0.2</v>
      </c>
      <c r="F51" s="1">
        <f>$C$8</f>
        <v>0.96</v>
      </c>
      <c r="G51" s="1">
        <f>E51*F51</f>
        <v>0.192</v>
      </c>
      <c r="H51" s="2">
        <v>12850</v>
      </c>
      <c r="I51" s="1">
        <f>H51*G51</f>
        <v>2467.2000000000003</v>
      </c>
      <c r="J51" s="3">
        <f>I51*$D$8/$B$3*(1-EXP(-$B$3*$B$4))</f>
        <v>68.73225611281948</v>
      </c>
      <c r="K51" s="2">
        <v>12850</v>
      </c>
      <c r="L51" s="1">
        <f>G51*K51</f>
        <v>2467.2000000000003</v>
      </c>
      <c r="M51" s="3">
        <f>L51*$E$8/$B$3*(1-EXP(-$B$3*$B$4))</f>
        <v>5303.839096705904</v>
      </c>
      <c r="N51" s="4"/>
      <c r="O51" s="4"/>
      <c r="Q51">
        <v>3030</v>
      </c>
      <c r="R51" s="1">
        <f>Q51*G51</f>
        <v>581.76</v>
      </c>
      <c r="S51" s="3">
        <f>R51*$F$8/$B$3/20*(1-EXP(-$B$3*$B$4))</f>
        <v>3.241381105398335</v>
      </c>
      <c r="T51" s="4">
        <v>3</v>
      </c>
      <c r="U51" s="4">
        <f>T51*E51</f>
        <v>0.6000000000000001</v>
      </c>
      <c r="V51" s="3">
        <f>G51*T51*(1/$B$3)*(1-EXP(-$B$3*$B$4))</f>
        <v>2.6744068526388904</v>
      </c>
      <c r="W51" s="3">
        <f>S51+M51+J51+V51</f>
        <v>5378.4871407767605</v>
      </c>
      <c r="X51" s="5">
        <f>E51*C51*$B$14/$B$3*(1-EXP(-$B$3*$B$4))</f>
        <v>51037.50978446849</v>
      </c>
      <c r="Y51" s="1">
        <f>X51/W51</f>
        <v>9.48919434937938</v>
      </c>
    </row>
    <row r="52" spans="2:25" ht="12.75">
      <c r="B52" t="s">
        <v>29</v>
      </c>
      <c r="C52">
        <v>635917.9747222407</v>
      </c>
      <c r="D52" s="1">
        <f>'life.exp'!G106</f>
        <v>38.75512877875071</v>
      </c>
      <c r="E52" s="1">
        <f>$B$9</f>
        <v>0</v>
      </c>
      <c r="F52" s="1">
        <f>$C$9</f>
        <v>0.96</v>
      </c>
      <c r="G52" s="1">
        <f>E52*F52</f>
        <v>0</v>
      </c>
      <c r="H52" s="2">
        <v>3390</v>
      </c>
      <c r="I52" s="1">
        <f>H52*G52</f>
        <v>0</v>
      </c>
      <c r="J52" s="3">
        <f>I52*$D$9/$B$3*(1-EXP(-$B$3*$B$4))</f>
        <v>0</v>
      </c>
      <c r="K52" s="2">
        <v>3390</v>
      </c>
      <c r="L52" s="1">
        <f>G52*K52</f>
        <v>0</v>
      </c>
      <c r="M52" s="3">
        <f>L52*$E$9/$B$3*(1-EXP(-$B$3*$B$4))</f>
        <v>0</v>
      </c>
      <c r="N52" s="4"/>
      <c r="O52" s="4"/>
      <c r="Q52">
        <v>90</v>
      </c>
      <c r="R52" s="1">
        <f>Q52*G52</f>
        <v>0</v>
      </c>
      <c r="S52" s="3">
        <f>R52*$F$9/$B$3/20*(1-EXP(-$B$3*$B$4))</f>
        <v>0</v>
      </c>
      <c r="T52" s="4">
        <v>0.15</v>
      </c>
      <c r="U52" s="4">
        <f>T52*E52</f>
        <v>0</v>
      </c>
      <c r="V52" s="3">
        <f>G52*T52*(1/$B$3)*(1-EXP(-$B$3*$B$4))</f>
        <v>0</v>
      </c>
      <c r="W52" s="3">
        <f>S52+M52+J52+V52</f>
        <v>0</v>
      </c>
      <c r="X52" s="5">
        <f>E52*C52*$B$14/$B$3*(1-EXP(-$B$3*$B$4))</f>
        <v>0</v>
      </c>
      <c r="Y52" s="1" t="e">
        <f>X52/W52</f>
        <v>#DIV/0!</v>
      </c>
    </row>
    <row r="53" spans="2:27" ht="12.75">
      <c r="B53" t="s">
        <v>4</v>
      </c>
      <c r="C53" s="1">
        <f>SUM(C50:C52)</f>
        <v>999999.9999999998</v>
      </c>
      <c r="H53" s="2"/>
      <c r="I53" s="4">
        <f>SUM(I50:I52)</f>
        <v>2467.2000000000003</v>
      </c>
      <c r="J53" s="3">
        <f>SUM(J50:J52)</f>
        <v>68.73225611281948</v>
      </c>
      <c r="K53" s="4"/>
      <c r="L53" s="4">
        <f>SUM(L50:L52)</f>
        <v>2467.2000000000003</v>
      </c>
      <c r="M53" s="3">
        <f>SUM(M50:M52)</f>
        <v>5303.839096705904</v>
      </c>
      <c r="N53" s="4"/>
      <c r="O53" s="4"/>
      <c r="Q53" s="4"/>
      <c r="R53" s="4">
        <f>SUM(R50:R52)</f>
        <v>581.76</v>
      </c>
      <c r="S53" s="3">
        <f>SUM(S50:S52)</f>
        <v>3.241381105398335</v>
      </c>
      <c r="U53" s="4">
        <f>SUM(U50:U52)</f>
        <v>0.6000000000000001</v>
      </c>
      <c r="W53" s="3">
        <f>SUM(W50:W52)</f>
        <v>5378.4871407767605</v>
      </c>
      <c r="X53" s="5">
        <f>SUM(X50:X52)</f>
        <v>51037.50978446849</v>
      </c>
      <c r="Y53" s="1">
        <f>X53/W53</f>
        <v>9.48919434937938</v>
      </c>
      <c r="AA53" s="1">
        <f>M53/W53</f>
        <v>0.9861209960873727</v>
      </c>
    </row>
    <row r="54" spans="8:15" ht="12.75">
      <c r="H54" s="2"/>
      <c r="J54" s="3"/>
      <c r="K54"/>
      <c r="N54" s="4"/>
      <c r="O54" s="4"/>
    </row>
    <row r="55" spans="1:15" ht="12.75">
      <c r="A55" s="6" t="s">
        <v>11</v>
      </c>
      <c r="G55" s="4"/>
      <c r="H55" s="2"/>
      <c r="J55" s="3"/>
      <c r="K55"/>
      <c r="N55" s="4"/>
      <c r="O55" s="4"/>
    </row>
    <row r="56" spans="2:25" ht="12.75">
      <c r="B56" t="s">
        <v>21</v>
      </c>
      <c r="C56" t="s">
        <v>33</v>
      </c>
      <c r="D56" t="s">
        <v>34</v>
      </c>
      <c r="E56" t="s">
        <v>22</v>
      </c>
      <c r="F56" t="s">
        <v>23</v>
      </c>
      <c r="G56" t="s">
        <v>35</v>
      </c>
      <c r="H56" s="2" t="s">
        <v>36</v>
      </c>
      <c r="I56" t="s">
        <v>37</v>
      </c>
      <c r="J56" s="3" t="s">
        <v>38</v>
      </c>
      <c r="K56" t="s">
        <v>39</v>
      </c>
      <c r="L56" t="s">
        <v>40</v>
      </c>
      <c r="M56" s="3" t="s">
        <v>41</v>
      </c>
      <c r="N56" s="4"/>
      <c r="O56" s="4"/>
      <c r="Q56" t="s">
        <v>42</v>
      </c>
      <c r="R56" t="s">
        <v>43</v>
      </c>
      <c r="S56" s="3" t="s">
        <v>44</v>
      </c>
      <c r="T56" s="9" t="s">
        <v>45</v>
      </c>
      <c r="U56" s="9" t="s">
        <v>46</v>
      </c>
      <c r="V56" s="3" t="s">
        <v>47</v>
      </c>
      <c r="W56" s="10" t="s">
        <v>48</v>
      </c>
      <c r="X56" s="11" t="s">
        <v>49</v>
      </c>
      <c r="Y56" s="9" t="s">
        <v>50</v>
      </c>
    </row>
    <row r="57" spans="2:25" ht="12.75">
      <c r="B57" s="4" t="s">
        <v>27</v>
      </c>
      <c r="C57">
        <v>123718.82423966541</v>
      </c>
      <c r="D57" s="1">
        <f>'life.exp'!G129</f>
        <v>63.8466580985906</v>
      </c>
      <c r="E57" s="1">
        <f>$B$7</f>
        <v>0</v>
      </c>
      <c r="F57" s="1">
        <f>$C$7</f>
        <v>0.96</v>
      </c>
      <c r="G57" s="1">
        <f>E57*F57</f>
        <v>0</v>
      </c>
      <c r="H57" s="2">
        <v>22470</v>
      </c>
      <c r="I57" s="1">
        <f>H57*G57</f>
        <v>0</v>
      </c>
      <c r="J57" s="3">
        <f>I57*$D$7/$B$3*(1-EXP(-$B$3*$B$4))</f>
        <v>0</v>
      </c>
      <c r="K57" s="2">
        <v>22470</v>
      </c>
      <c r="L57" s="1">
        <f>G57*K57</f>
        <v>0</v>
      </c>
      <c r="M57" s="3">
        <f>L57*$E$7/$B$3*(1-EXP(-$B$3*$B$4))</f>
        <v>0</v>
      </c>
      <c r="N57" s="4"/>
      <c r="O57" s="4"/>
      <c r="Q57">
        <v>4190</v>
      </c>
      <c r="R57" s="1">
        <f>Q57*G57</f>
        <v>0</v>
      </c>
      <c r="S57" s="3">
        <f>R57*$F$7/$B$3/20*(1-EXP(-$B$3*$B$4))</f>
        <v>0</v>
      </c>
      <c r="T57" s="4">
        <v>4</v>
      </c>
      <c r="U57" s="4">
        <f>T57*E57</f>
        <v>0</v>
      </c>
      <c r="V57" s="3">
        <f>G57*T57*(1/$B$3)*(1-EXP(-$B$3*$B$4))</f>
        <v>0</v>
      </c>
      <c r="W57" s="3">
        <f>S57+M57+J57+V57</f>
        <v>0</v>
      </c>
      <c r="X57" s="5">
        <f>E57*C57*$B$14/$B$3*(1-EXP(-$B$3*$B$4))</f>
        <v>0</v>
      </c>
      <c r="Y57" s="1" t="e">
        <f>X57/W57</f>
        <v>#DIV/0!</v>
      </c>
    </row>
    <row r="58" spans="2:25" ht="12.75">
      <c r="B58" s="4" t="s">
        <v>28</v>
      </c>
      <c r="C58">
        <v>228922.51809283328</v>
      </c>
      <c r="D58" s="1">
        <f>'life.exp'!G130</f>
        <v>58.711973776496336</v>
      </c>
      <c r="E58" s="1">
        <f>$B$8</f>
        <v>0.2</v>
      </c>
      <c r="F58" s="1">
        <f>$C$8</f>
        <v>0.96</v>
      </c>
      <c r="G58" s="1">
        <f>E58*F58</f>
        <v>0.192</v>
      </c>
      <c r="H58" s="2">
        <v>18920</v>
      </c>
      <c r="I58" s="1">
        <f>H58*G58</f>
        <v>3632.64</v>
      </c>
      <c r="J58" s="3">
        <f>I58*$D$8/$B$3*(1-EXP(-$B$3*$B$4))</f>
        <v>101.1995553038556</v>
      </c>
      <c r="K58" s="2">
        <v>18920</v>
      </c>
      <c r="L58" s="1">
        <f>G58*K58</f>
        <v>3632.64</v>
      </c>
      <c r="M58" s="3">
        <f>L58*$E$8/$B$3*(1-EXP(-$B$3*$B$4))</f>
        <v>7809.2323509475245</v>
      </c>
      <c r="N58" s="4"/>
      <c r="O58" s="4"/>
      <c r="Q58">
        <v>4590</v>
      </c>
      <c r="R58" s="1">
        <f>Q58*G58</f>
        <v>881.28</v>
      </c>
      <c r="S58" s="3">
        <f>R58*$F$8/$B$3/20*(1-EXP(-$B$3*$B$4))</f>
        <v>4.910210981445002</v>
      </c>
      <c r="T58" s="4">
        <v>4</v>
      </c>
      <c r="U58" s="4">
        <f>T58*E58</f>
        <v>0.8</v>
      </c>
      <c r="V58" s="3">
        <f>G58*T58*(1/$B$3)*(1-EXP(-$B$3*$B$4))</f>
        <v>3.5658758035185203</v>
      </c>
      <c r="W58" s="3">
        <f>S58+M58+J58+V58</f>
        <v>7918.907993036344</v>
      </c>
      <c r="X58" s="5">
        <f>E58*C58*$B$14/$B$3*(1-EXP(-$B$3*$B$4))</f>
        <v>47936.91144982317</v>
      </c>
      <c r="Y58" s="1">
        <f>X58/W58</f>
        <v>6.053474985689629</v>
      </c>
    </row>
    <row r="59" spans="2:25" ht="12.75">
      <c r="B59" t="s">
        <v>29</v>
      </c>
      <c r="C59">
        <v>647358.6576675014</v>
      </c>
      <c r="D59" s="1">
        <f>'life.exp'!G131</f>
        <v>34.80691400618806</v>
      </c>
      <c r="E59" s="1">
        <f>$B$9</f>
        <v>0</v>
      </c>
      <c r="F59" s="1">
        <f>$C$9</f>
        <v>0.96</v>
      </c>
      <c r="G59" s="1">
        <f>E59*F59</f>
        <v>0</v>
      </c>
      <c r="H59" s="2">
        <v>4890</v>
      </c>
      <c r="I59" s="1">
        <f>H59*G59</f>
        <v>0</v>
      </c>
      <c r="J59" s="3">
        <f>I59*$D$9/$B$3*(1-EXP(-$B$3*$B$4))</f>
        <v>0</v>
      </c>
      <c r="K59" s="2">
        <v>4890</v>
      </c>
      <c r="L59" s="1">
        <f>G59*K59</f>
        <v>0</v>
      </c>
      <c r="M59" s="3">
        <f>L59*$E$9/$B$3*(1-EXP(-$B$3*$B$4))</f>
        <v>0</v>
      </c>
      <c r="N59" s="4"/>
      <c r="O59" s="4"/>
      <c r="Q59">
        <v>120</v>
      </c>
      <c r="R59" s="1">
        <f>Q59*G59</f>
        <v>0</v>
      </c>
      <c r="S59" s="3">
        <f>R59*$F$9/$B$3/20*(1-EXP(-$B$3*$B$4))</f>
        <v>0</v>
      </c>
      <c r="T59" s="4">
        <v>0.18</v>
      </c>
      <c r="U59" s="4">
        <f>T59*E59</f>
        <v>0</v>
      </c>
      <c r="V59" s="3">
        <f>G59*T59*(1/$B$3)*(1-EXP(-$B$3*$B$4))</f>
        <v>0</v>
      </c>
      <c r="W59" s="3">
        <f>S59+M59+J59+V59</f>
        <v>0</v>
      </c>
      <c r="X59" s="5">
        <f>E59*C59*$B$14/$B$3*(1-EXP(-$B$3*$B$4))</f>
        <v>0</v>
      </c>
      <c r="Y59" s="1" t="e">
        <f>X59/W59</f>
        <v>#DIV/0!</v>
      </c>
    </row>
    <row r="60" spans="2:27" ht="12.75">
      <c r="B60" t="s">
        <v>4</v>
      </c>
      <c r="C60" s="1">
        <f>SUM(C57:C59)</f>
        <v>1000000</v>
      </c>
      <c r="H60" s="2"/>
      <c r="I60" s="4">
        <f>SUM(I57:I59)</f>
        <v>3632.64</v>
      </c>
      <c r="J60" s="3">
        <f>SUM(J57:J59)</f>
        <v>101.1995553038556</v>
      </c>
      <c r="K60" s="4"/>
      <c r="L60" s="4">
        <f>SUM(L57:L59)</f>
        <v>3632.64</v>
      </c>
      <c r="M60" s="3">
        <f>SUM(M57:M59)</f>
        <v>7809.2323509475245</v>
      </c>
      <c r="N60" s="4"/>
      <c r="O60" s="4"/>
      <c r="Q60" s="4"/>
      <c r="R60" s="4">
        <f>SUM(R57:R59)</f>
        <v>881.28</v>
      </c>
      <c r="S60" s="3">
        <f>SUM(S57:S59)</f>
        <v>4.910210981445002</v>
      </c>
      <c r="U60" s="4">
        <f>SUM(U57:U59)</f>
        <v>0.8</v>
      </c>
      <c r="W60" s="3">
        <f>SUM(W57:W59)</f>
        <v>7918.907993036344</v>
      </c>
      <c r="X60" s="5">
        <f>SUM(X57:X59)</f>
        <v>47936.91144982317</v>
      </c>
      <c r="Y60" s="1">
        <f>X60/W60</f>
        <v>6.053474985689629</v>
      </c>
      <c r="AA60" s="1">
        <f>M60/W60</f>
        <v>0.9861501557809151</v>
      </c>
    </row>
    <row r="61" spans="8:15" ht="12.75">
      <c r="H61" s="2"/>
      <c r="J61" s="3"/>
      <c r="K61"/>
      <c r="N61" s="4"/>
      <c r="O61" s="4"/>
    </row>
    <row r="62" spans="1:15" ht="12.75">
      <c r="A62" s="6" t="s">
        <v>12</v>
      </c>
      <c r="H62" s="2"/>
      <c r="J62" s="3"/>
      <c r="K62"/>
      <c r="N62" s="4"/>
      <c r="O62" s="4"/>
    </row>
    <row r="63" spans="2:25" ht="12.75">
      <c r="B63" t="s">
        <v>21</v>
      </c>
      <c r="C63" t="s">
        <v>33</v>
      </c>
      <c r="D63" t="s">
        <v>34</v>
      </c>
      <c r="E63" t="s">
        <v>22</v>
      </c>
      <c r="F63" t="s">
        <v>23</v>
      </c>
      <c r="G63" t="s">
        <v>35</v>
      </c>
      <c r="H63" s="2" t="s">
        <v>36</v>
      </c>
      <c r="I63" t="s">
        <v>37</v>
      </c>
      <c r="J63" s="3" t="s">
        <v>38</v>
      </c>
      <c r="K63" t="s">
        <v>39</v>
      </c>
      <c r="L63" t="s">
        <v>40</v>
      </c>
      <c r="M63" s="3" t="s">
        <v>41</v>
      </c>
      <c r="N63" s="4"/>
      <c r="O63" s="4"/>
      <c r="Q63" t="s">
        <v>42</v>
      </c>
      <c r="R63" t="s">
        <v>43</v>
      </c>
      <c r="S63" s="3" t="s">
        <v>44</v>
      </c>
      <c r="T63" s="9" t="s">
        <v>45</v>
      </c>
      <c r="U63" s="9" t="s">
        <v>46</v>
      </c>
      <c r="V63" s="3" t="s">
        <v>47</v>
      </c>
      <c r="W63" s="10" t="s">
        <v>48</v>
      </c>
      <c r="X63" s="11" t="s">
        <v>49</v>
      </c>
      <c r="Y63" s="9" t="s">
        <v>50</v>
      </c>
    </row>
    <row r="64" spans="2:25" ht="12.75">
      <c r="B64" s="4" t="s">
        <v>27</v>
      </c>
      <c r="C64">
        <v>169661.64443246892</v>
      </c>
      <c r="D64" s="1">
        <f>'life.exp'!G154</f>
        <v>47.83128974790552</v>
      </c>
      <c r="E64" s="1">
        <f>$B$7</f>
        <v>0</v>
      </c>
      <c r="F64" s="1">
        <f>$C$7</f>
        <v>0.96</v>
      </c>
      <c r="G64" s="1">
        <f>E64*F64</f>
        <v>0</v>
      </c>
      <c r="H64" s="2">
        <v>15460</v>
      </c>
      <c r="I64" s="1">
        <f>H64*G64</f>
        <v>0</v>
      </c>
      <c r="J64" s="3">
        <f>I64*$D$7/$B$3*(1-EXP(-$B$3*$B$4))</f>
        <v>0</v>
      </c>
      <c r="K64" s="2">
        <v>15460</v>
      </c>
      <c r="L64" s="1">
        <f>G64*K64</f>
        <v>0</v>
      </c>
      <c r="M64" s="3">
        <f>L64*$E$7/$B$3*(1-EXP(-$B$3*$B$4))</f>
        <v>0</v>
      </c>
      <c r="N64" s="4"/>
      <c r="O64" s="4"/>
      <c r="Q64">
        <v>2590</v>
      </c>
      <c r="R64" s="1">
        <f>Q64*G64</f>
        <v>0</v>
      </c>
      <c r="S64" s="3">
        <f>R64*$F$7/$B$3/20*(1-EXP(-$B$3*$B$4))</f>
        <v>0</v>
      </c>
      <c r="T64" s="4">
        <v>3</v>
      </c>
      <c r="U64" s="4">
        <f>T64*E64</f>
        <v>0</v>
      </c>
      <c r="V64" s="3">
        <f>G64*T64*(1/$B$3)*(1-EXP(-$B$3*$B$4))</f>
        <v>0</v>
      </c>
      <c r="W64" s="3">
        <f>S64+M64+J64+V64</f>
        <v>0</v>
      </c>
      <c r="X64" s="5">
        <f>E64*C64*$B$14/$B$3*(1-EXP(-$B$3*$B$4))</f>
        <v>0</v>
      </c>
      <c r="Y64" s="1" t="e">
        <f>X64/W64</f>
        <v>#DIV/0!</v>
      </c>
    </row>
    <row r="65" spans="2:25" ht="12.75">
      <c r="B65" s="4" t="s">
        <v>28</v>
      </c>
      <c r="C65">
        <v>272923.56572590594</v>
      </c>
      <c r="D65" s="1">
        <f>'life.exp'!G155</f>
        <v>44.97143509785186</v>
      </c>
      <c r="E65" s="1">
        <f>$B$8</f>
        <v>0.2</v>
      </c>
      <c r="F65" s="1">
        <f>$C$8</f>
        <v>0.96</v>
      </c>
      <c r="G65" s="1">
        <f>E65*F65</f>
        <v>0.192</v>
      </c>
      <c r="H65" s="2">
        <v>11810</v>
      </c>
      <c r="I65" s="1">
        <f>H65*G65</f>
        <v>2267.52</v>
      </c>
      <c r="J65" s="3">
        <f>I65*$D$8/$B$3*(1-EXP(-$B$3*$B$4))</f>
        <v>63.16948985933059</v>
      </c>
      <c r="K65" s="2">
        <v>11810</v>
      </c>
      <c r="L65" s="1">
        <f>G65*K65</f>
        <v>2267.52</v>
      </c>
      <c r="M65" s="3">
        <f>L65*$E$8/$B$3*(1-EXP(-$B$3*$B$4))</f>
        <v>4874.578967478344</v>
      </c>
      <c r="N65" s="4"/>
      <c r="O65" s="4"/>
      <c r="Q65">
        <v>2650</v>
      </c>
      <c r="R65" s="1">
        <f>Q65*G65</f>
        <v>508.8</v>
      </c>
      <c r="S65" s="3">
        <f>R65*$F$8/$B$3/20*(1-EXP(-$B$3*$B$4))</f>
        <v>2.8348712637972233</v>
      </c>
      <c r="T65" s="4">
        <v>3</v>
      </c>
      <c r="U65" s="4">
        <f>T65*E65</f>
        <v>0.6000000000000001</v>
      </c>
      <c r="V65" s="3">
        <f>G65*T65*(1/$B$3)*(1-EXP(-$B$3*$B$4))</f>
        <v>2.6744068526388904</v>
      </c>
      <c r="W65" s="3">
        <f>S65+M65+J65+V65</f>
        <v>4943.25773545411</v>
      </c>
      <c r="X65" s="5">
        <f>E65*C65*$B$14/$B$3*(1-EXP(-$B$3*$B$4))</f>
        <v>57150.83387937943</v>
      </c>
      <c r="Y65" s="1">
        <f>X65/W65</f>
        <v>11.561370443924323</v>
      </c>
    </row>
    <row r="66" spans="2:25" ht="12.75">
      <c r="B66" t="s">
        <v>29</v>
      </c>
      <c r="C66">
        <v>557414.7898416251</v>
      </c>
      <c r="D66" s="1">
        <f>'life.exp'!G156</f>
        <v>29.06903553175047</v>
      </c>
      <c r="E66" s="1">
        <f>$B$9</f>
        <v>0</v>
      </c>
      <c r="F66" s="1">
        <f>$C$9</f>
        <v>0.96</v>
      </c>
      <c r="G66" s="1">
        <f>E66*F66</f>
        <v>0</v>
      </c>
      <c r="H66" s="2">
        <v>2910</v>
      </c>
      <c r="I66" s="1">
        <f>H66*G66</f>
        <v>0</v>
      </c>
      <c r="J66" s="3">
        <f>I66*$D$9/$B$3*(1-EXP(-$B$3*$B$4))</f>
        <v>0</v>
      </c>
      <c r="K66" s="2">
        <v>2910</v>
      </c>
      <c r="L66" s="1">
        <f>G66*K66</f>
        <v>0</v>
      </c>
      <c r="M66" s="3">
        <f>L66*$E$9/$B$3*(1-EXP(-$B$3*$B$4))</f>
        <v>0</v>
      </c>
      <c r="N66" s="4"/>
      <c r="O66" s="4"/>
      <c r="Q66">
        <v>60</v>
      </c>
      <c r="R66" s="1">
        <f>Q66*G66</f>
        <v>0</v>
      </c>
      <c r="S66" s="3">
        <f>R66*$F$9/$B$3/20*(1-EXP(-$B$3*$B$4))</f>
        <v>0</v>
      </c>
      <c r="T66" s="4">
        <v>0.18</v>
      </c>
      <c r="U66" s="4">
        <f>T66*E66</f>
        <v>0</v>
      </c>
      <c r="V66" s="3">
        <f>G66*T66*(1/$B$3)*(1-EXP(-$B$3*$B$4))</f>
        <v>0</v>
      </c>
      <c r="W66" s="3">
        <f>S66+M66+J66+V66</f>
        <v>0</v>
      </c>
      <c r="X66" s="5">
        <f>E66*C66*$B$14/$B$3*(1-EXP(-$B$3*$B$4))</f>
        <v>0</v>
      </c>
      <c r="Y66" s="1" t="e">
        <f>X66/W66</f>
        <v>#DIV/0!</v>
      </c>
    </row>
    <row r="67" spans="2:27" ht="12.75">
      <c r="B67" t="s">
        <v>4</v>
      </c>
      <c r="C67" s="1">
        <f>SUM(C64:C66)</f>
        <v>1000000</v>
      </c>
      <c r="H67" s="2"/>
      <c r="I67" s="4">
        <f>SUM(I64:I66)</f>
        <v>2267.52</v>
      </c>
      <c r="J67" s="3">
        <f>SUM(J64:J66)</f>
        <v>63.16948985933059</v>
      </c>
      <c r="L67" s="4">
        <f>SUM(L64:L66)</f>
        <v>2267.52</v>
      </c>
      <c r="M67" s="3">
        <f>SUM(M64:M66)</f>
        <v>4874.578967478344</v>
      </c>
      <c r="N67" s="4"/>
      <c r="O67" s="4"/>
      <c r="Q67" s="4"/>
      <c r="R67" s="4">
        <f>SUM(R64:R66)</f>
        <v>508.8</v>
      </c>
      <c r="S67" s="3">
        <f>SUM(S64:S66)</f>
        <v>2.8348712637972233</v>
      </c>
      <c r="U67" s="4">
        <f>SUM(U64:U66)</f>
        <v>0.6000000000000001</v>
      </c>
      <c r="W67" s="3">
        <f>SUM(W64:W66)</f>
        <v>4943.25773545411</v>
      </c>
      <c r="X67" s="5">
        <f>SUM(X64:X66)</f>
        <v>57150.83387937943</v>
      </c>
      <c r="Y67" s="1">
        <f>X67/W67</f>
        <v>11.561370443924323</v>
      </c>
      <c r="AA67" s="1">
        <f>M67/W67</f>
        <v>0.9861065775544764</v>
      </c>
    </row>
    <row r="68" spans="9:61" ht="12.75"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  <row r="69" spans="9:61" ht="12.75"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  <row r="70" spans="9:61" ht="12.75"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</row>
    <row r="71" spans="9:61" ht="12.75"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</row>
    <row r="72" spans="9:61" ht="12.75"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</row>
    <row r="73" spans="9:61" ht="12.75"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</row>
    <row r="74" spans="9:61" ht="12.75"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</row>
    <row r="75" spans="9:61" ht="12.75"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</row>
    <row r="76" spans="9:61" ht="12.75"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</row>
    <row r="77" spans="9:61" ht="12.75"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</row>
    <row r="78" spans="9:61" ht="12.75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</row>
    <row r="79" spans="9:61" ht="12.75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</row>
    <row r="80" spans="9:61" ht="12.75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</row>
    <row r="81" spans="9:61" ht="12.75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</row>
    <row r="82" spans="9:61" ht="12.75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</row>
    <row r="83" spans="9:61" ht="12.75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</row>
    <row r="84" spans="9:61" ht="12.75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</row>
    <row r="85" spans="9:61" ht="12.75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</row>
    <row r="86" spans="9:61" ht="12.75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</row>
    <row r="87" spans="9:61" ht="12.75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</row>
    <row r="88" spans="9:61" ht="12.75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</row>
    <row r="89" spans="9:61" ht="12.75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</row>
    <row r="90" spans="9:61" ht="12.75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9:61" ht="12.75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</row>
    <row r="92" spans="9:61" ht="12.75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</row>
    <row r="93" spans="9:61" ht="12.75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</row>
    <row r="94" spans="9:61" ht="12.75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</row>
    <row r="95" spans="9:61" ht="12.75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</row>
    <row r="96" spans="9:61" ht="12.75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</row>
    <row r="97" spans="9:61" ht="12.75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</row>
    <row r="98" spans="9:61" ht="12.75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</row>
    <row r="99" spans="9:61" ht="12.75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</row>
    <row r="100" spans="9:61" ht="12.75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</row>
    <row r="101" spans="9:61" ht="12.75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</row>
    <row r="102" spans="9:61" ht="12.75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</row>
    <row r="103" spans="9:61" ht="12.75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</row>
    <row r="104" spans="9:61" ht="12.75"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</row>
    <row r="105" spans="9:61" ht="12.75"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</row>
    <row r="106" spans="9:61" ht="12.75"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</row>
    <row r="107" spans="9:61" ht="12.75"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</row>
    <row r="108" spans="9:61" ht="12.75"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</row>
    <row r="109" spans="9:61" ht="12.75"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</row>
    <row r="110" spans="9:61" ht="12.75"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</row>
    <row r="111" spans="9:61" ht="12.75"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</row>
    <row r="112" spans="9:61" ht="12.75"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</row>
    <row r="113" spans="9:61" ht="12.75"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</row>
    <row r="114" spans="9:61" ht="12.75"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</row>
    <row r="115" spans="9:61" ht="12.75"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</row>
    <row r="116" spans="9:61" ht="12.75"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</row>
    <row r="117" spans="9:61" ht="12.75"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</row>
    <row r="118" spans="9:61" ht="12.75"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</row>
    <row r="119" spans="9:61" ht="12.75"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</row>
    <row r="120" spans="9:61" ht="12.75"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</row>
    <row r="121" spans="9:61" ht="12.75"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</row>
    <row r="122" spans="9:61" ht="12.75"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</row>
    <row r="123" spans="9:61" ht="12.75"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</row>
    <row r="124" spans="9:61" ht="12.75"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</row>
    <row r="125" spans="9:61" ht="12.75"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</row>
    <row r="126" spans="9:61" ht="12.75"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</row>
    <row r="127" spans="9:61" ht="12.75"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</row>
    <row r="128" spans="9:61" ht="12.75"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</row>
    <row r="129" spans="9:61" ht="12.75"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</row>
    <row r="130" spans="9:61" ht="12.75"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</row>
    <row r="131" spans="9:61" ht="12.75"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</row>
    <row r="132" spans="9:61" ht="12.75"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</row>
    <row r="133" spans="9:61" ht="12.75"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</row>
    <row r="134" spans="9:61" ht="12.75"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</row>
    <row r="135" spans="9:61" ht="12.75"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</row>
    <row r="136" spans="9:61" ht="12.75"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</row>
    <row r="137" spans="9:61" ht="12.75"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</row>
    <row r="138" spans="9:61" ht="12.75"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</row>
    <row r="139" spans="9:61" ht="12.75"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</row>
    <row r="140" spans="9:61" ht="12.75"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</row>
    <row r="141" spans="9:61" ht="12.75"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</row>
    <row r="142" spans="9:61" ht="12.75"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</row>
    <row r="143" spans="9:61" ht="12.75"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</row>
    <row r="144" spans="9:61" ht="12.75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</row>
    <row r="145" spans="9:61" ht="12.75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</row>
    <row r="146" spans="9:61" ht="12.75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</row>
    <row r="147" spans="9:61" ht="12.75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</row>
    <row r="148" spans="9:61" ht="12.75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</row>
    <row r="149" spans="9:61" ht="12.75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</row>
    <row r="150" spans="9:61" ht="12.75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</row>
    <row r="151" spans="9:61" ht="12.7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</row>
    <row r="152" spans="9:61" ht="12.7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</row>
    <row r="153" spans="9:61" ht="12.7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</row>
    <row r="154" spans="9:61" ht="12.7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</row>
    <row r="155" spans="9:61" ht="12.7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</row>
    <row r="156" spans="9:61" ht="12.7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</row>
    <row r="157" spans="9:61" ht="12.7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</row>
    <row r="158" spans="9:61" ht="12.7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</row>
    <row r="159" spans="9:61" ht="12.7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</row>
    <row r="160" spans="9:61" ht="12.7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</row>
    <row r="161" spans="9:61" ht="12.7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</row>
    <row r="162" spans="9:61" ht="12.7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</row>
    <row r="163" spans="9:61" ht="12.7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</row>
    <row r="164" spans="9:61" ht="12.7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</row>
    <row r="165" spans="9:61" ht="12.7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</row>
    <row r="166" spans="9:61" ht="12.7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</row>
    <row r="167" spans="9:61" ht="12.7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</row>
    <row r="168" spans="9:61" ht="12.7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</row>
    <row r="169" spans="9:61" ht="12.7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</row>
    <row r="170" spans="9:61" ht="12.7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</row>
    <row r="171" spans="9:61" ht="12.7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</row>
    <row r="172" spans="9:61" ht="12.7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</row>
    <row r="173" spans="9:61" ht="12.7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</row>
    <row r="174" spans="9:61" ht="12.7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</row>
    <row r="175" spans="9:61" ht="12.7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</row>
    <row r="176" spans="9:61" ht="12.7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</row>
    <row r="177" spans="9:61" ht="12.7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</row>
    <row r="178" spans="9:61" ht="12.7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</row>
    <row r="179" spans="9:61" ht="12.7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</row>
    <row r="180" spans="9:61" ht="12.7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</row>
    <row r="181" spans="9:61" ht="12.7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</row>
    <row r="182" spans="9:61" ht="12.7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</row>
    <row r="183" spans="9:61" ht="12.7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</row>
    <row r="184" spans="9:61" ht="12.7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</row>
    <row r="185" spans="9:61" ht="12.7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</row>
    <row r="186" spans="9:61" ht="12.7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</row>
    <row r="187" spans="9:61" ht="12.7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</row>
    <row r="188" spans="9:61" ht="12.7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</row>
    <row r="189" spans="9:61" ht="12.7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</row>
    <row r="190" spans="9:61" ht="12.7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</row>
    <row r="191" spans="9:61" ht="12.7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</row>
    <row r="192" spans="9:61" ht="12.7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</row>
    <row r="193" spans="9:61" ht="12.7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</row>
    <row r="194" spans="9:61" ht="12.7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</row>
    <row r="195" spans="9:61" ht="12.7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95"/>
  <sheetViews>
    <sheetView zoomScale="75" zoomScaleNormal="75" workbookViewId="0" topLeftCell="A1">
      <pane xSplit="2" ySplit="19" topLeftCell="C53" activePane="bottomRight" state="frozen"/>
      <selection pane="topLeft" activeCell="A1" sqref="A1"/>
      <selection pane="topRight" activeCell="C1" sqref="C1"/>
      <selection pane="bottomLeft" activeCell="A53" sqref="A53"/>
      <selection pane="bottomRight" activeCell="B1" sqref="B1"/>
    </sheetView>
  </sheetViews>
  <sheetFormatPr defaultColWidth="9.140625" defaultRowHeight="12.75"/>
  <cols>
    <col min="1" max="1" width="20.00390625" style="0" customWidth="1"/>
    <col min="2" max="2" width="11.140625" style="0" customWidth="1"/>
    <col min="3" max="3" width="20.28125" style="0" customWidth="1"/>
    <col min="4" max="5" width="16.140625" style="0" customWidth="1"/>
    <col min="6" max="6" width="20.00390625" style="0" customWidth="1"/>
    <col min="7" max="7" width="13.57421875" style="0" customWidth="1"/>
    <col min="8" max="8" width="12.00390625" style="0" customWidth="1"/>
    <col min="9" max="9" width="14.8515625" style="0" customWidth="1"/>
    <col min="10" max="10" width="10.00390625" style="0" customWidth="1"/>
    <col min="11" max="11" width="12.00390625" style="2" customWidth="1"/>
    <col min="12" max="12" width="15.28125" style="0" customWidth="1"/>
    <col min="13" max="13" width="10.00390625" style="3" customWidth="1"/>
    <col min="14" max="14" width="12.00390625" style="0" customWidth="1"/>
    <col min="15" max="15" width="14.8515625" style="0" customWidth="1"/>
    <col min="16" max="16" width="14.8515625" style="3" customWidth="1"/>
    <col min="17" max="17" width="18.7109375" style="0" customWidth="1"/>
    <col min="18" max="18" width="13.140625" style="0" customWidth="1"/>
    <col min="19" max="19" width="18.7109375" style="0" customWidth="1"/>
    <col min="20" max="20" width="20.00390625" style="3" customWidth="1"/>
    <col min="21" max="21" width="14.8515625" style="4" customWidth="1"/>
    <col min="22" max="22" width="18.7109375" style="3" customWidth="1"/>
    <col min="23" max="23" width="11.57421875" style="3" customWidth="1"/>
    <col min="24" max="24" width="20.00390625" style="5" customWidth="1"/>
    <col min="25" max="25" width="19.7109375" style="0" customWidth="1"/>
    <col min="26" max="26" width="16.8515625" style="0" customWidth="1"/>
  </cols>
  <sheetData>
    <row r="1" spans="1:28" ht="12.75">
      <c r="A1" s="6" t="s">
        <v>16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V1" s="4"/>
      <c r="W1" s="4"/>
      <c r="X1" s="4"/>
      <c r="Y1" s="4"/>
      <c r="Z1" s="4"/>
      <c r="AA1" s="4"/>
      <c r="AB1" s="4"/>
    </row>
    <row r="2" spans="1:28" ht="12.75">
      <c r="A2" s="7" t="s">
        <v>17</v>
      </c>
      <c r="B2" t="s">
        <v>18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V2" s="4"/>
      <c r="W2" s="4"/>
      <c r="X2" s="4"/>
      <c r="Y2" s="4"/>
      <c r="Z2" s="4"/>
      <c r="AA2" s="4"/>
      <c r="AB2" s="4"/>
    </row>
    <row r="3" spans="1:28" ht="12.75">
      <c r="A3" s="7" t="s">
        <v>19</v>
      </c>
      <c r="B3">
        <v>0.03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</row>
    <row r="4" spans="1:28" ht="12.75">
      <c r="A4" t="s">
        <v>20</v>
      </c>
      <c r="B4">
        <v>5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V4" s="4"/>
      <c r="W4" s="4"/>
      <c r="X4" s="4"/>
      <c r="Y4" s="4"/>
      <c r="Z4" s="4"/>
      <c r="AA4" s="4"/>
      <c r="AB4" s="4"/>
    </row>
    <row r="5" spans="10:28" ht="12.75">
      <c r="J5" s="4"/>
      <c r="K5" s="4"/>
      <c r="L5" s="4"/>
      <c r="M5" s="4"/>
      <c r="N5" s="4"/>
      <c r="O5" s="4"/>
      <c r="P5" s="4"/>
      <c r="Q5" s="4"/>
      <c r="R5" s="4"/>
      <c r="S5" s="4"/>
      <c r="T5" s="4"/>
      <c r="V5" s="4"/>
      <c r="W5" s="4"/>
      <c r="X5" s="4"/>
      <c r="Y5" s="4"/>
      <c r="Z5" s="4"/>
      <c r="AA5" s="4"/>
      <c r="AB5" s="4"/>
    </row>
    <row r="6" spans="1:28" ht="12.75">
      <c r="A6" t="s">
        <v>21</v>
      </c>
      <c r="B6" t="s">
        <v>22</v>
      </c>
      <c r="C6" t="s">
        <v>23</v>
      </c>
      <c r="D6" t="s">
        <v>24</v>
      </c>
      <c r="E6" t="s">
        <v>25</v>
      </c>
      <c r="F6" t="s">
        <v>26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V6" s="4"/>
      <c r="W6" s="4"/>
      <c r="X6" s="4"/>
      <c r="Y6" s="4"/>
      <c r="Z6" s="4"/>
      <c r="AA6" s="4"/>
      <c r="AB6" s="4"/>
    </row>
    <row r="7" spans="1:28" ht="12.75">
      <c r="A7" s="4" t="s">
        <v>27</v>
      </c>
      <c r="B7">
        <v>0</v>
      </c>
      <c r="C7">
        <v>0.38</v>
      </c>
      <c r="D7">
        <v>0.006</v>
      </c>
      <c r="E7">
        <v>0.138</v>
      </c>
      <c r="F7">
        <v>0.024</v>
      </c>
      <c r="G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V7" s="4"/>
      <c r="W7" s="4"/>
      <c r="X7" s="4"/>
      <c r="Y7" s="4"/>
      <c r="Z7" s="4"/>
      <c r="AA7" s="4"/>
      <c r="AB7" s="4"/>
    </row>
    <row r="8" spans="1:28" ht="12.75">
      <c r="A8" s="4" t="s">
        <v>28</v>
      </c>
      <c r="B8">
        <v>0.2</v>
      </c>
      <c r="C8">
        <v>0.38</v>
      </c>
      <c r="D8">
        <v>0.006</v>
      </c>
      <c r="E8">
        <v>0.116</v>
      </c>
      <c r="F8">
        <v>0.024</v>
      </c>
      <c r="G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V8" s="4"/>
      <c r="W8" s="4"/>
      <c r="X8" s="4"/>
      <c r="Y8" s="4"/>
      <c r="Z8" s="4"/>
      <c r="AA8" s="4"/>
      <c r="AB8" s="4"/>
    </row>
    <row r="9" spans="1:28" ht="12.75">
      <c r="A9" t="s">
        <v>29</v>
      </c>
      <c r="B9">
        <v>0</v>
      </c>
      <c r="C9">
        <v>0.38</v>
      </c>
      <c r="D9">
        <v>0.006</v>
      </c>
      <c r="E9">
        <v>0.119</v>
      </c>
      <c r="F9">
        <v>0.024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V9" s="4"/>
      <c r="W9" s="4"/>
      <c r="X9" s="4"/>
      <c r="Y9" s="4"/>
      <c r="Z9" s="4"/>
      <c r="AA9" s="4"/>
      <c r="AB9" s="4"/>
    </row>
    <row r="10" spans="10:28" ht="12.75"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V10" s="4"/>
      <c r="W10" s="4"/>
      <c r="X10" s="4"/>
      <c r="Y10" s="4"/>
      <c r="Z10" s="4"/>
      <c r="AA10" s="4"/>
      <c r="AB10" s="4"/>
    </row>
    <row r="11" spans="1:28" ht="12.75">
      <c r="A11" t="s">
        <v>30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V11" s="4"/>
      <c r="W11" s="4"/>
      <c r="X11" s="4"/>
      <c r="Y11" s="4"/>
      <c r="Z11" s="4"/>
      <c r="AA11" s="4"/>
      <c r="AB11" s="4"/>
    </row>
    <row r="12" spans="1:28" ht="12.75">
      <c r="A12" t="s">
        <v>31</v>
      </c>
      <c r="B12">
        <v>0.121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V12" s="4"/>
      <c r="W12" s="4"/>
      <c r="X12" s="4"/>
      <c r="Y12" s="4"/>
      <c r="Z12" s="4"/>
      <c r="AA12" s="4"/>
      <c r="AB12" s="4"/>
    </row>
    <row r="13" spans="1:28" ht="12.75">
      <c r="A13" t="s">
        <v>32</v>
      </c>
      <c r="B13">
        <v>0.1045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V13" s="4"/>
      <c r="W13" s="4"/>
      <c r="X13" s="4"/>
      <c r="Y13" s="4"/>
      <c r="Z13" s="4"/>
      <c r="AA13" s="4"/>
      <c r="AB13" s="4"/>
    </row>
    <row r="14" spans="1:28" ht="12.75">
      <c r="A14" t="s">
        <v>4</v>
      </c>
      <c r="B14" s="1">
        <f>SUM(B12:B13)</f>
        <v>0.22549999999999998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V14" s="4"/>
      <c r="W14" s="4"/>
      <c r="X14" s="4"/>
      <c r="Y14" s="4"/>
      <c r="Z14" s="4"/>
      <c r="AA14" s="4"/>
      <c r="AB14" s="4"/>
    </row>
    <row r="15" spans="10:28" ht="12.75"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V15" s="4"/>
      <c r="W15" s="4"/>
      <c r="X15" s="4"/>
      <c r="Y15" s="4"/>
      <c r="Z15" s="4"/>
      <c r="AA15" s="4"/>
      <c r="AB15" s="4"/>
    </row>
    <row r="16" spans="10:28" ht="12.75"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V16" s="4"/>
      <c r="W16" s="4"/>
      <c r="X16" s="4"/>
      <c r="Y16" s="4"/>
      <c r="Z16" s="4"/>
      <c r="AA16" s="4"/>
      <c r="AB16" s="4"/>
    </row>
    <row r="17" spans="10:28" ht="12.75"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V17" s="4"/>
      <c r="W17" s="4"/>
      <c r="X17" s="4"/>
      <c r="Y17" s="4"/>
      <c r="Z17" s="4"/>
      <c r="AA17" s="4"/>
      <c r="AB17" s="4"/>
    </row>
    <row r="18" spans="10:28" ht="12.75"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V18" s="4"/>
      <c r="W18" s="4"/>
      <c r="X18" s="4"/>
      <c r="Y18" s="4"/>
      <c r="Z18" s="4"/>
      <c r="AA18" s="4"/>
      <c r="AB18" s="4"/>
    </row>
    <row r="19" spans="10:28" ht="12.75"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V19" s="4"/>
      <c r="W19" s="4"/>
      <c r="X19" s="4"/>
      <c r="Y19" s="4"/>
      <c r="Z19" s="4"/>
      <c r="AA19" s="4"/>
      <c r="AB19" s="4"/>
    </row>
    <row r="20" spans="1:24" ht="12.75">
      <c r="A20" s="6" t="s">
        <v>7</v>
      </c>
      <c r="H20" s="2"/>
      <c r="J20" s="3"/>
      <c r="K20"/>
      <c r="Q20" s="4"/>
      <c r="R20" s="4"/>
      <c r="S20" s="3"/>
      <c r="U20" s="5"/>
      <c r="V20"/>
      <c r="W20"/>
      <c r="X20"/>
    </row>
    <row r="21" spans="2:24" ht="12.75">
      <c r="B21" t="s">
        <v>21</v>
      </c>
      <c r="C21" t="s">
        <v>33</v>
      </c>
      <c r="D21" t="s">
        <v>34</v>
      </c>
      <c r="E21" t="s">
        <v>22</v>
      </c>
      <c r="F21" t="s">
        <v>23</v>
      </c>
      <c r="G21" t="s">
        <v>35</v>
      </c>
      <c r="H21" s="2" t="s">
        <v>36</v>
      </c>
      <c r="I21" t="s">
        <v>37</v>
      </c>
      <c r="J21" s="3" t="s">
        <v>38</v>
      </c>
      <c r="K21" t="s">
        <v>39</v>
      </c>
      <c r="L21" t="s">
        <v>40</v>
      </c>
      <c r="M21" s="3" t="s">
        <v>41</v>
      </c>
      <c r="N21" t="s">
        <v>42</v>
      </c>
      <c r="O21" t="s">
        <v>43</v>
      </c>
      <c r="P21" s="3" t="s">
        <v>44</v>
      </c>
      <c r="Q21" s="9" t="s">
        <v>45</v>
      </c>
      <c r="R21" s="9" t="s">
        <v>46</v>
      </c>
      <c r="S21" s="3" t="s">
        <v>47</v>
      </c>
      <c r="T21" s="10" t="s">
        <v>48</v>
      </c>
      <c r="U21" s="11" t="s">
        <v>49</v>
      </c>
      <c r="V21" s="9" t="s">
        <v>50</v>
      </c>
      <c r="W21"/>
      <c r="X21"/>
    </row>
    <row r="22" spans="2:24" ht="12.75">
      <c r="B22" s="4" t="s">
        <v>27</v>
      </c>
      <c r="C22">
        <v>107709.88699291763</v>
      </c>
      <c r="D22" s="1">
        <f>'life.exp'!G4</f>
        <v>64.29487520239418</v>
      </c>
      <c r="E22" s="1">
        <f>$B$7</f>
        <v>0</v>
      </c>
      <c r="F22" s="1">
        <f>$C$7</f>
        <v>0.38</v>
      </c>
      <c r="G22" s="1">
        <f>E22*F22</f>
        <v>0</v>
      </c>
      <c r="H22" s="2">
        <f>AVERAGE(H29,H43,H50,H57,H64)</f>
        <v>4760</v>
      </c>
      <c r="I22" s="1">
        <f>H22*G22</f>
        <v>0</v>
      </c>
      <c r="J22" s="3">
        <f>I22*$D$7/$B$3*(1-EXP(-$B$3*$B$4))</f>
        <v>0</v>
      </c>
      <c r="K22" s="2">
        <f>AVERAGE(K29,K43,K50,K57,K64)</f>
        <v>4760</v>
      </c>
      <c r="L22" s="1">
        <f>G22*K22</f>
        <v>0</v>
      </c>
      <c r="M22" s="3">
        <f>L22*$E$7/$B$3*(1-EXP(-$B$3*$B$4))</f>
        <v>0</v>
      </c>
      <c r="N22" s="2">
        <f>AVERAGE(N29,N43,N50,N57,N64)</f>
        <v>432</v>
      </c>
      <c r="O22" s="1">
        <f>N22*G22</f>
        <v>0</v>
      </c>
      <c r="P22" s="3">
        <f>O22*$F$7/$B$3/20*(1-EXP(-$B$3*$B$4))</f>
        <v>0</v>
      </c>
      <c r="Q22" s="4">
        <f>AVERAGE(Q29,Q43,Q50,Q57,Q64)</f>
        <v>7</v>
      </c>
      <c r="R22" s="4">
        <f>Q22*E22</f>
        <v>0</v>
      </c>
      <c r="S22" s="3">
        <f>G22*Q22*(1/$B$3)*(1-EXP(-$B$3*$B$4))</f>
        <v>0</v>
      </c>
      <c r="T22" s="3">
        <f>P22+M22+J22+S22</f>
        <v>0</v>
      </c>
      <c r="U22" s="5">
        <f>E22*C22*$B$14/$B$3*(1-EXP(-$B$3*$B$4))</f>
        <v>0</v>
      </c>
      <c r="V22" s="1" t="e">
        <f>U22/T22</f>
        <v>#DIV/0!</v>
      </c>
      <c r="W22"/>
      <c r="X22"/>
    </row>
    <row r="23" spans="2:24" ht="12.75">
      <c r="B23" s="4" t="s">
        <v>28</v>
      </c>
      <c r="C23">
        <v>210012.83861139108</v>
      </c>
      <c r="D23" s="1">
        <f>'life.exp'!G5</f>
        <v>59.16846093762806</v>
      </c>
      <c r="E23" s="1">
        <f>$B$8</f>
        <v>0.2</v>
      </c>
      <c r="F23" s="1">
        <f>$C$8</f>
        <v>0.38</v>
      </c>
      <c r="G23" s="1">
        <f>E23*F23</f>
        <v>0.07600000000000001</v>
      </c>
      <c r="H23" s="2">
        <f>AVERAGE(H30,H44,H51,H58,H65)</f>
        <v>12799</v>
      </c>
      <c r="I23" s="1">
        <f>H23*G23</f>
        <v>972.7240000000002</v>
      </c>
      <c r="J23" s="3">
        <f>I23*$D$8/$B$3*(1-EXP(-$B$3*$B$4))</f>
        <v>27.09853886798242</v>
      </c>
      <c r="K23" s="2">
        <f>AVERAGE(K30,K44,K51,K58,K65)</f>
        <v>12799</v>
      </c>
      <c r="L23" s="1">
        <f>G23*K23</f>
        <v>972.7240000000002</v>
      </c>
      <c r="M23" s="3">
        <f>L23*$E$8/$B$3*(1-EXP(-$B$3*$B$4))</f>
        <v>523.9050847809935</v>
      </c>
      <c r="N23" s="2">
        <f>AVERAGE(N30,N44,N51,N58,N65)</f>
        <v>6323</v>
      </c>
      <c r="O23" s="1">
        <f>N23*G23</f>
        <v>480.54800000000006</v>
      </c>
      <c r="P23" s="3">
        <f>O23*$F$8/$B$3/20*(1-EXP(-$B$3*$B$4))</f>
        <v>2.6774601337956536</v>
      </c>
      <c r="Q23" s="4">
        <f>AVERAGE(Q30,Q44,Q51,Q58,Q65)</f>
        <v>4</v>
      </c>
      <c r="R23" s="4">
        <f>Q23*E23</f>
        <v>0.8</v>
      </c>
      <c r="S23" s="3">
        <f>G23*Q23*(1/$B$3)*(1-EXP(-$B$3*$B$4))</f>
        <v>1.4114925055594147</v>
      </c>
      <c r="T23" s="3">
        <f>P23+M23+J23+S23</f>
        <v>555.092576288331</v>
      </c>
      <c r="U23" s="5">
        <f>E23*C23*$B$14/$B$3*(1-EXP(-$B$3*$B$4))</f>
        <v>43977.18027790395</v>
      </c>
      <c r="V23" s="1">
        <f>U23/T23</f>
        <v>79.22494761497394</v>
      </c>
      <c r="W23"/>
      <c r="X23"/>
    </row>
    <row r="24" spans="2:24" ht="12.75">
      <c r="B24" t="s">
        <v>29</v>
      </c>
      <c r="C24">
        <v>682277.2743956918</v>
      </c>
      <c r="D24" s="1">
        <f>'life.exp'!G6</f>
        <v>34.967698247695</v>
      </c>
      <c r="E24" s="1">
        <f>$B$9</f>
        <v>0</v>
      </c>
      <c r="F24" s="1">
        <f>$C$9</f>
        <v>0.38</v>
      </c>
      <c r="G24" s="1">
        <f>E24*F24</f>
        <v>0</v>
      </c>
      <c r="H24" s="2">
        <f>AVERAGE(H31,H45,H52,H59,H66)</f>
        <v>2598</v>
      </c>
      <c r="I24" s="1">
        <f>H24*G24</f>
        <v>0</v>
      </c>
      <c r="J24" s="3">
        <f>I24*$D$9/$B$3*(1-EXP(-$B$3*$B$4))</f>
        <v>0</v>
      </c>
      <c r="K24" s="2">
        <f>AVERAGE(K31,K45,K52,K59,K66)</f>
        <v>2598</v>
      </c>
      <c r="L24" s="1">
        <f>G24*K24</f>
        <v>0</v>
      </c>
      <c r="M24" s="3">
        <f>L24*$E$9/$B$3*(1-EXP(-$B$3*$B$4))</f>
        <v>0</v>
      </c>
      <c r="N24" s="2">
        <f>AVERAGE(N31,N45,N52,N59,N66)</f>
        <v>39</v>
      </c>
      <c r="O24" s="1">
        <f>N24*G24</f>
        <v>0</v>
      </c>
      <c r="P24" s="3">
        <f>O24*$F$9/$B$3/20*(1-EXP(-$B$3*$B$4))</f>
        <v>0</v>
      </c>
      <c r="Q24" s="4">
        <f>AVERAGE(Q31,Q45,Q52,Q59,Q66)</f>
        <v>0</v>
      </c>
      <c r="R24" s="4">
        <f>Q24*E24</f>
        <v>0</v>
      </c>
      <c r="S24" s="3">
        <f>G24*Q24*(1/$B$3)*(1-EXP(-$B$3*$B$4))</f>
        <v>0</v>
      </c>
      <c r="T24" s="3">
        <f>P24+M24+J24+S24</f>
        <v>0</v>
      </c>
      <c r="U24" s="5">
        <f>E24*C24*$B$14/$B$3*(1-EXP(-$B$3*$B$4))</f>
        <v>0</v>
      </c>
      <c r="V24" s="1" t="e">
        <f>U24/T24</f>
        <v>#DIV/0!</v>
      </c>
      <c r="W24"/>
      <c r="X24"/>
    </row>
    <row r="25" spans="2:24" ht="12.75">
      <c r="B25" t="s">
        <v>4</v>
      </c>
      <c r="C25" s="1">
        <f>SUM(C22:C24)</f>
        <v>1000000.0000000005</v>
      </c>
      <c r="H25" s="2"/>
      <c r="I25" s="4">
        <f>SUM(I22:I24)</f>
        <v>972.7240000000002</v>
      </c>
      <c r="J25" s="3">
        <f>SUM(J22:J24)</f>
        <v>27.09853886798242</v>
      </c>
      <c r="K25" s="4"/>
      <c r="L25" s="4">
        <f>SUM(L22:L24)</f>
        <v>972.7240000000002</v>
      </c>
      <c r="M25" s="3">
        <f>SUM(M22:M24)</f>
        <v>523.9050847809935</v>
      </c>
      <c r="N25" s="4"/>
      <c r="O25" s="4">
        <f>SUM(O22:O24)</f>
        <v>480.54800000000006</v>
      </c>
      <c r="P25" s="3">
        <f>SUM(P22:P24)</f>
        <v>2.6774601337956536</v>
      </c>
      <c r="Q25" s="4"/>
      <c r="R25" s="4">
        <f>SUM(R22:R24)</f>
        <v>0.8</v>
      </c>
      <c r="S25" s="3"/>
      <c r="T25" s="3">
        <f>SUM(T22:T24)</f>
        <v>555.092576288331</v>
      </c>
      <c r="U25" s="5">
        <f>SUM(U22:U24)</f>
        <v>43977.18027790395</v>
      </c>
      <c r="V25" s="1">
        <f>U25/T25</f>
        <v>79.22494761497394</v>
      </c>
      <c r="W25"/>
      <c r="X25"/>
    </row>
    <row r="26" spans="8:24" ht="12.75">
      <c r="H26" s="2"/>
      <c r="I26" s="4"/>
      <c r="J26" s="3"/>
      <c r="K26" s="8"/>
      <c r="L26" s="8"/>
      <c r="N26" s="4"/>
      <c r="O26" s="4"/>
      <c r="Q26" s="4"/>
      <c r="R26" s="4"/>
      <c r="S26" s="3"/>
      <c r="U26" s="5"/>
      <c r="V26"/>
      <c r="W26"/>
      <c r="X26"/>
    </row>
    <row r="27" spans="1:24" ht="12.75">
      <c r="A27" s="6" t="s">
        <v>8</v>
      </c>
      <c r="G27" s="4"/>
      <c r="H27" s="2"/>
      <c r="I27" s="4"/>
      <c r="J27" s="3"/>
      <c r="K27" s="4"/>
      <c r="L27" s="4"/>
      <c r="N27" s="4"/>
      <c r="O27" s="4"/>
      <c r="Q27" s="4"/>
      <c r="R27" s="4"/>
      <c r="S27" s="3"/>
      <c r="U27" s="5"/>
      <c r="V27"/>
      <c r="W27"/>
      <c r="X27"/>
    </row>
    <row r="28" spans="2:24" ht="12.75">
      <c r="B28" t="s">
        <v>21</v>
      </c>
      <c r="C28" t="s">
        <v>33</v>
      </c>
      <c r="D28" t="s">
        <v>34</v>
      </c>
      <c r="E28" t="s">
        <v>22</v>
      </c>
      <c r="F28" t="s">
        <v>23</v>
      </c>
      <c r="G28" t="s">
        <v>35</v>
      </c>
      <c r="H28" s="2" t="s">
        <v>36</v>
      </c>
      <c r="I28" t="s">
        <v>37</v>
      </c>
      <c r="J28" s="3" t="s">
        <v>38</v>
      </c>
      <c r="K28" t="s">
        <v>39</v>
      </c>
      <c r="L28" t="s">
        <v>40</v>
      </c>
      <c r="M28" s="3" t="s">
        <v>41</v>
      </c>
      <c r="N28" t="s">
        <v>42</v>
      </c>
      <c r="O28" t="s">
        <v>43</v>
      </c>
      <c r="P28" s="3" t="s">
        <v>44</v>
      </c>
      <c r="Q28" s="9" t="s">
        <v>45</v>
      </c>
      <c r="R28" s="9" t="s">
        <v>46</v>
      </c>
      <c r="S28" s="3" t="s">
        <v>47</v>
      </c>
      <c r="T28" s="10" t="s">
        <v>48</v>
      </c>
      <c r="U28" s="11" t="s">
        <v>49</v>
      </c>
      <c r="V28" s="9" t="s">
        <v>50</v>
      </c>
      <c r="W28"/>
      <c r="X28"/>
    </row>
    <row r="29" spans="2:24" ht="12.75">
      <c r="B29" s="4" t="s">
        <v>27</v>
      </c>
      <c r="C29">
        <v>83551.02972333267</v>
      </c>
      <c r="D29" s="1">
        <f>'life.exp'!G29</f>
        <v>69.0636264019544</v>
      </c>
      <c r="E29" s="1">
        <f>$B$7</f>
        <v>0</v>
      </c>
      <c r="F29" s="1">
        <f>$C$7</f>
        <v>0.38</v>
      </c>
      <c r="G29" s="1">
        <f>E29*F29</f>
        <v>0</v>
      </c>
      <c r="H29" s="2">
        <v>9380</v>
      </c>
      <c r="I29" s="1">
        <f>H29*G29</f>
        <v>0</v>
      </c>
      <c r="J29" s="3">
        <f>I29*$D$7/$B$3*(1-EXP(-$B$3*$B$4))</f>
        <v>0</v>
      </c>
      <c r="K29" s="2">
        <v>9380</v>
      </c>
      <c r="L29" s="1">
        <f>G29*K29</f>
        <v>0</v>
      </c>
      <c r="M29" s="3">
        <f>L29*$E$7/$B$3*(1-EXP(-$B$3*$B$4))</f>
        <v>0</v>
      </c>
      <c r="N29">
        <v>870</v>
      </c>
      <c r="O29" s="1">
        <f>N29*G29</f>
        <v>0</v>
      </c>
      <c r="P29" s="3">
        <f>O29*$F$7/$B$3/20*(1-EXP(-$B$3*$B$4))</f>
        <v>0</v>
      </c>
      <c r="Q29" s="4">
        <v>15</v>
      </c>
      <c r="R29" s="4">
        <f>Q29*E29</f>
        <v>0</v>
      </c>
      <c r="S29" s="3">
        <f>G29*Q29*(1/$B$3)*(1-EXP(-$B$3*$B$4))</f>
        <v>0</v>
      </c>
      <c r="T29" s="3">
        <f>P29+M29+J29+S29</f>
        <v>0</v>
      </c>
      <c r="U29" s="5">
        <f>E29*C29*$B$14/$B$3*(1-EXP(-$B$3*$B$4))</f>
        <v>0</v>
      </c>
      <c r="V29" s="1" t="e">
        <f>U29/T29</f>
        <v>#DIV/0!</v>
      </c>
      <c r="W29"/>
      <c r="X29"/>
    </row>
    <row r="30" spans="2:24" ht="12.75">
      <c r="B30" s="4" t="s">
        <v>28</v>
      </c>
      <c r="C30">
        <v>181883.38842745117</v>
      </c>
      <c r="D30" s="1">
        <f>'life.exp'!G30</f>
        <v>62.494256729949576</v>
      </c>
      <c r="E30" s="1">
        <f>$B$8</f>
        <v>0.2</v>
      </c>
      <c r="F30" s="1">
        <f>$C$8</f>
        <v>0.38</v>
      </c>
      <c r="G30" s="1">
        <f>E30*F30</f>
        <v>0.07600000000000001</v>
      </c>
      <c r="H30" s="2">
        <v>24415</v>
      </c>
      <c r="I30" s="1">
        <f>H30*G30</f>
        <v>1855.5400000000002</v>
      </c>
      <c r="J30" s="3">
        <f>I30*$D$8/$B$3*(1-EXP(-$B$3*$B$4))</f>
        <v>51.69238428484965</v>
      </c>
      <c r="K30" s="2">
        <v>24415</v>
      </c>
      <c r="L30" s="1">
        <f>G30*K30</f>
        <v>1855.5400000000002</v>
      </c>
      <c r="M30" s="3">
        <f>L30*$E$8/$B$3*(1-EXP(-$B$3*$B$4))</f>
        <v>999.3860961737599</v>
      </c>
      <c r="N30">
        <v>12235</v>
      </c>
      <c r="O30" s="1">
        <f>N30*G30</f>
        <v>929.8600000000001</v>
      </c>
      <c r="P30" s="3">
        <f>O30*$F$8/$B$3/20*(1-EXP(-$B$3*$B$4))</f>
        <v>5.180883241655831</v>
      </c>
      <c r="Q30" s="4">
        <v>10</v>
      </c>
      <c r="R30" s="4">
        <f>Q30*E30</f>
        <v>2</v>
      </c>
      <c r="S30" s="3">
        <f>G30*Q30*(1/$B$3)*(1-EXP(-$B$3*$B$4))</f>
        <v>3.5287312638985364</v>
      </c>
      <c r="T30" s="3">
        <f>P30+M30+J30+S30</f>
        <v>1059.788094964164</v>
      </c>
      <c r="U30" s="5">
        <f>E30*C30*$B$14/$B$3*(1-EXP(-$B$3*$B$4))</f>
        <v>38086.807527186094</v>
      </c>
      <c r="V30" s="1">
        <f>U30/T30</f>
        <v>35.938134904670704</v>
      </c>
      <c r="W30"/>
      <c r="X30"/>
    </row>
    <row r="31" spans="2:24" ht="12.75">
      <c r="B31" t="s">
        <v>29</v>
      </c>
      <c r="C31">
        <v>734565.5818492161</v>
      </c>
      <c r="D31" s="1">
        <f>'life.exp'!G31</f>
        <v>35.87312438800519</v>
      </c>
      <c r="E31" s="1">
        <f>$B$9</f>
        <v>0</v>
      </c>
      <c r="F31" s="1">
        <f>$C$9</f>
        <v>0.38</v>
      </c>
      <c r="G31" s="1">
        <f>E31*F31</f>
        <v>0</v>
      </c>
      <c r="H31" s="2">
        <v>2220</v>
      </c>
      <c r="I31" s="1">
        <f>H31*G31</f>
        <v>0</v>
      </c>
      <c r="J31" s="3">
        <f>I31*$D$9/$B$3*(1-EXP(-$B$3*$B$4))</f>
        <v>0</v>
      </c>
      <c r="K31" s="2">
        <v>2220</v>
      </c>
      <c r="L31" s="1">
        <f>G31*K31</f>
        <v>0</v>
      </c>
      <c r="M31" s="3">
        <f>L31*$E$9/$B$3*(1-EXP(-$B$3*$B$4))</f>
        <v>0</v>
      </c>
      <c r="N31">
        <v>75</v>
      </c>
      <c r="O31" s="1">
        <f>N31*G31</f>
        <v>0</v>
      </c>
      <c r="P31" s="3">
        <f>O31*$F$9/$B$3/20*(1-EXP(-$B$3*$B$4))</f>
        <v>0</v>
      </c>
      <c r="Q31" s="4">
        <v>0</v>
      </c>
      <c r="R31" s="4">
        <f>Q31*E31</f>
        <v>0</v>
      </c>
      <c r="S31" s="3">
        <f>G31*Q31*(1/$B$3)*(1-EXP(-$B$3*$B$4))</f>
        <v>0</v>
      </c>
      <c r="T31" s="3">
        <f>P31+M31+J31+S31</f>
        <v>0</v>
      </c>
      <c r="U31" s="5">
        <f>E31*C31*$B$14/$B$3*(1-EXP(-$B$3*$B$4))</f>
        <v>0</v>
      </c>
      <c r="V31" s="1" t="e">
        <f>U31/T31</f>
        <v>#DIV/0!</v>
      </c>
      <c r="W31"/>
      <c r="X31"/>
    </row>
    <row r="32" spans="2:24" ht="12.75">
      <c r="B32" t="s">
        <v>4</v>
      </c>
      <c r="C32" s="1">
        <f>SUM(C29:C31)</f>
        <v>1000000</v>
      </c>
      <c r="H32" s="2"/>
      <c r="I32" s="4">
        <f>SUM(I29:I31)</f>
        <v>1855.5400000000002</v>
      </c>
      <c r="J32" s="3">
        <f>SUM(J29:J31)</f>
        <v>51.69238428484965</v>
      </c>
      <c r="K32" s="4"/>
      <c r="L32" s="4">
        <f>SUM(L29:L31)</f>
        <v>1855.5400000000002</v>
      </c>
      <c r="M32" s="3">
        <f>SUM(M29:M31)</f>
        <v>999.3860961737599</v>
      </c>
      <c r="N32" s="4"/>
      <c r="O32" s="4">
        <f>SUM(O29:O31)</f>
        <v>929.8600000000001</v>
      </c>
      <c r="P32" s="3">
        <f>SUM(P29:P31)</f>
        <v>5.180883241655831</v>
      </c>
      <c r="Q32" s="4"/>
      <c r="R32" s="4">
        <f>SUM(R29:R31)</f>
        <v>2</v>
      </c>
      <c r="S32" s="3"/>
      <c r="T32" s="3">
        <f>SUM(T29:T31)</f>
        <v>1059.788094964164</v>
      </c>
      <c r="U32" s="5">
        <f>SUM(U29:U31)</f>
        <v>38086.807527186094</v>
      </c>
      <c r="V32" s="1">
        <f>U32/T32</f>
        <v>35.938134904670704</v>
      </c>
      <c r="W32"/>
      <c r="X32"/>
    </row>
    <row r="33" spans="8:24" ht="12.75">
      <c r="H33" s="2"/>
      <c r="J33" s="3"/>
      <c r="K33" s="12"/>
      <c r="L33" s="12"/>
      <c r="N33" s="4"/>
      <c r="O33" s="4"/>
      <c r="Q33" s="4"/>
      <c r="R33" s="4"/>
      <c r="S33" s="3"/>
      <c r="U33" s="5"/>
      <c r="V33"/>
      <c r="W33"/>
      <c r="X33"/>
    </row>
    <row r="34" spans="1:24" ht="12.75">
      <c r="A34" s="6" t="s">
        <v>51</v>
      </c>
      <c r="F34" s="4"/>
      <c r="G34" s="4"/>
      <c r="H34" s="2"/>
      <c r="J34" s="3"/>
      <c r="K34"/>
      <c r="Q34" s="4"/>
      <c r="R34" s="4"/>
      <c r="S34" s="3"/>
      <c r="U34" s="5"/>
      <c r="V34"/>
      <c r="W34"/>
      <c r="X34"/>
    </row>
    <row r="35" spans="2:24" ht="12.75">
      <c r="B35" t="s">
        <v>21</v>
      </c>
      <c r="C35" t="s">
        <v>33</v>
      </c>
      <c r="D35" t="s">
        <v>34</v>
      </c>
      <c r="E35" t="s">
        <v>22</v>
      </c>
      <c r="F35" t="s">
        <v>23</v>
      </c>
      <c r="G35" t="s">
        <v>35</v>
      </c>
      <c r="H35" s="2" t="s">
        <v>36</v>
      </c>
      <c r="I35" t="s">
        <v>37</v>
      </c>
      <c r="J35" s="3" t="s">
        <v>38</v>
      </c>
      <c r="K35" t="s">
        <v>39</v>
      </c>
      <c r="L35" t="s">
        <v>40</v>
      </c>
      <c r="M35" s="3" t="s">
        <v>41</v>
      </c>
      <c r="N35" t="s">
        <v>42</v>
      </c>
      <c r="O35" t="s">
        <v>43</v>
      </c>
      <c r="P35" s="3" t="s">
        <v>44</v>
      </c>
      <c r="Q35" s="9" t="s">
        <v>45</v>
      </c>
      <c r="R35" s="9" t="s">
        <v>46</v>
      </c>
      <c r="S35" s="3" t="s">
        <v>47</v>
      </c>
      <c r="T35" s="10" t="s">
        <v>48</v>
      </c>
      <c r="U35" s="11" t="s">
        <v>49</v>
      </c>
      <c r="V35" s="9" t="s">
        <v>50</v>
      </c>
      <c r="W35"/>
      <c r="X35"/>
    </row>
    <row r="36" spans="2:24" ht="12.75">
      <c r="B36" s="4" t="s">
        <v>27</v>
      </c>
      <c r="C36">
        <v>61780.399893318674</v>
      </c>
      <c r="D36" s="1">
        <f>'life.exp'!G54</f>
        <v>67.26788407934288</v>
      </c>
      <c r="E36" s="1">
        <f>$B$7</f>
        <v>0</v>
      </c>
      <c r="F36" s="1">
        <f>$C$7</f>
        <v>0.38</v>
      </c>
      <c r="G36" s="1">
        <f>E36*F36</f>
        <v>0</v>
      </c>
      <c r="H36" s="2">
        <f>AVERAGE(H29,H43,H50,H57,H64)</f>
        <v>4760</v>
      </c>
      <c r="I36" s="1">
        <f>H36*G36</f>
        <v>0</v>
      </c>
      <c r="J36" s="3">
        <f>I36*$D$7/$B$3*(1-EXP(-$B$3*$B$4))</f>
        <v>0</v>
      </c>
      <c r="K36" s="2">
        <f>AVERAGE(K29,K43,K50,K57,K64)</f>
        <v>4760</v>
      </c>
      <c r="L36" s="1">
        <f>G36*K36</f>
        <v>0</v>
      </c>
      <c r="M36" s="3">
        <f>L36*$E$7/$B$3*(1-EXP(-$B$3*$B$4))</f>
        <v>0</v>
      </c>
      <c r="N36" s="2">
        <f>AVERAGE(N29,N43,N50,N57,N64)</f>
        <v>432</v>
      </c>
      <c r="O36" s="1">
        <f>N36*G36</f>
        <v>0</v>
      </c>
      <c r="P36" s="3">
        <f>O36*$F$7/$B$3/20*(1-EXP(-$B$3*$B$4))</f>
        <v>0</v>
      </c>
      <c r="Q36" s="4">
        <f>AVERAGE(Q29,Q43,Q50,Q57,Q64)</f>
        <v>7</v>
      </c>
      <c r="R36" s="4">
        <f>Q36*E36</f>
        <v>0</v>
      </c>
      <c r="S36" s="3">
        <f>G36*Q36*(1/$B$3)*(1-EXP(-$B$3*$B$4))</f>
        <v>0</v>
      </c>
      <c r="T36" s="3">
        <f>P36+M36+J36+S36</f>
        <v>0</v>
      </c>
      <c r="U36" s="5">
        <f>E36*C36*$B$14/$B$3*(1-EXP(-$B$3*$B$4))</f>
        <v>0</v>
      </c>
      <c r="V36" s="1" t="e">
        <f>U36/T36</f>
        <v>#DIV/0!</v>
      </c>
      <c r="W36"/>
      <c r="X36"/>
    </row>
    <row r="37" spans="2:24" ht="12.75">
      <c r="B37" s="4" t="s">
        <v>28</v>
      </c>
      <c r="C37">
        <v>155937.1397196067</v>
      </c>
      <c r="D37" s="1">
        <f>'life.exp'!G55</f>
        <v>60.39877599778313</v>
      </c>
      <c r="E37" s="1">
        <f>$B$8</f>
        <v>0.2</v>
      </c>
      <c r="F37" s="1">
        <f>$C$8</f>
        <v>0.38</v>
      </c>
      <c r="G37" s="1">
        <f>E37*F37</f>
        <v>0.07600000000000001</v>
      </c>
      <c r="H37" s="2">
        <f>AVERAGE(H30,H44,H51,H58,H65)</f>
        <v>12799</v>
      </c>
      <c r="I37" s="1">
        <f>H37*G37</f>
        <v>972.7240000000002</v>
      </c>
      <c r="J37" s="3">
        <f>I37*$D$8/$B$3*(1-EXP(-$B$3*$B$4))</f>
        <v>27.09853886798242</v>
      </c>
      <c r="K37" s="2">
        <f>AVERAGE(K30,K44,K51,K58,K65)</f>
        <v>12799</v>
      </c>
      <c r="L37" s="1">
        <f>G37*K37</f>
        <v>972.7240000000002</v>
      </c>
      <c r="M37" s="3">
        <f>L37*$E$8/$B$3*(1-EXP(-$B$3*$B$4))</f>
        <v>523.9050847809935</v>
      </c>
      <c r="N37" s="2">
        <f>AVERAGE(N30,N44,N51,N58,N65)</f>
        <v>6323</v>
      </c>
      <c r="O37" s="1">
        <f>N37*G37</f>
        <v>480.54800000000006</v>
      </c>
      <c r="P37" s="3">
        <f>O37*$F$8/$B$3/20*(1-EXP(-$B$3*$B$4))</f>
        <v>2.6774601337956536</v>
      </c>
      <c r="Q37" s="4">
        <f>AVERAGE(Q30,Q44,Q51,Q58,Q65)</f>
        <v>4</v>
      </c>
      <c r="R37" s="4">
        <f>Q37*E37</f>
        <v>0.8</v>
      </c>
      <c r="S37" s="3">
        <f>G37*Q37*(1/$B$3)*(1-EXP(-$B$3*$B$4))</f>
        <v>1.4114925055594147</v>
      </c>
      <c r="T37" s="3">
        <f>P37+M37+J37+S37</f>
        <v>555.092576288331</v>
      </c>
      <c r="U37" s="5">
        <f>E37*C37*$B$14/$B$3*(1-EXP(-$B$3*$B$4))</f>
        <v>32653.60227885554</v>
      </c>
      <c r="V37" s="1">
        <f>U37/T37</f>
        <v>58.82550708423512</v>
      </c>
      <c r="W37"/>
      <c r="X37"/>
    </row>
    <row r="38" spans="2:24" ht="12.75">
      <c r="B38" t="s">
        <v>29</v>
      </c>
      <c r="C38">
        <v>782282.4603870746</v>
      </c>
      <c r="D38" s="1">
        <f>'life.exp'!G56</f>
        <v>32.13095606374863</v>
      </c>
      <c r="E38" s="1">
        <f>$B$9</f>
        <v>0</v>
      </c>
      <c r="F38" s="1">
        <f>$C$9</f>
        <v>0.38</v>
      </c>
      <c r="G38" s="1">
        <f>E38*F38</f>
        <v>0</v>
      </c>
      <c r="H38" s="2">
        <f>AVERAGE(H31,H45,H52,H59,H66)</f>
        <v>2598</v>
      </c>
      <c r="I38" s="1">
        <f>H38*G38</f>
        <v>0</v>
      </c>
      <c r="J38" s="3">
        <f>I38*$D$9/$B$3*(1-EXP(-$B$3*$B$4))</f>
        <v>0</v>
      </c>
      <c r="K38" s="2">
        <f>AVERAGE(K31,K45,K52,K59,K66)</f>
        <v>2598</v>
      </c>
      <c r="L38" s="1">
        <f>G38*K38</f>
        <v>0</v>
      </c>
      <c r="M38" s="3">
        <f>L38*$E$9/$B$3*(1-EXP(-$B$3*$B$4))</f>
        <v>0</v>
      </c>
      <c r="N38" s="2">
        <f>AVERAGE(N31,N45,N52,N59,N66)</f>
        <v>39</v>
      </c>
      <c r="O38" s="1">
        <f>N38*G38</f>
        <v>0</v>
      </c>
      <c r="P38" s="3">
        <f>O38*$F$9/$B$3/20*(1-EXP(-$B$3*$B$4))</f>
        <v>0</v>
      </c>
      <c r="Q38" s="4">
        <f>AVERAGE(Q31,Q45,Q52,Q59,Q66)</f>
        <v>0</v>
      </c>
      <c r="R38" s="4">
        <f>Q38*E38</f>
        <v>0</v>
      </c>
      <c r="S38" s="3">
        <f>G38*Q38*(1/$B$3)*(1-EXP(-$B$3*$B$4))</f>
        <v>0</v>
      </c>
      <c r="T38" s="3">
        <f>P38+M38+J38+S38</f>
        <v>0</v>
      </c>
      <c r="U38" s="5">
        <f>E38*C38*$B$14/$B$3*(1-EXP(-$B$3*$B$4))</f>
        <v>0</v>
      </c>
      <c r="V38" s="1" t="e">
        <f>U38/T38</f>
        <v>#DIV/0!</v>
      </c>
      <c r="W38"/>
      <c r="X38"/>
    </row>
    <row r="39" spans="2:24" ht="12.75">
      <c r="B39" t="s">
        <v>4</v>
      </c>
      <c r="C39" s="1">
        <f>SUM(C36:C38)</f>
        <v>1000000</v>
      </c>
      <c r="H39" s="2"/>
      <c r="I39" s="4">
        <f>SUM(I36:I38)</f>
        <v>972.7240000000002</v>
      </c>
      <c r="J39" s="3">
        <f>SUM(J36:J38)</f>
        <v>27.09853886798242</v>
      </c>
      <c r="K39" s="4"/>
      <c r="L39" s="4">
        <f>SUM(L36:L38)</f>
        <v>972.7240000000002</v>
      </c>
      <c r="M39" s="3">
        <f>SUM(M36:M38)</f>
        <v>523.9050847809935</v>
      </c>
      <c r="N39" s="4"/>
      <c r="O39" s="4">
        <f>SUM(O36:O38)</f>
        <v>480.54800000000006</v>
      </c>
      <c r="P39" s="3">
        <f>SUM(P36:P38)</f>
        <v>2.6774601337956536</v>
      </c>
      <c r="Q39" s="4"/>
      <c r="R39" s="4">
        <f>SUM(R36:R38)</f>
        <v>0.8</v>
      </c>
      <c r="S39" s="3"/>
      <c r="T39" s="3">
        <f>SUM(T36:T38)</f>
        <v>555.092576288331</v>
      </c>
      <c r="U39" s="5">
        <f>SUM(U36:U38)</f>
        <v>32653.60227885554</v>
      </c>
      <c r="V39" s="1">
        <f>U39/T39</f>
        <v>58.82550708423512</v>
      </c>
      <c r="W39"/>
      <c r="X39"/>
    </row>
    <row r="40" spans="8:24" ht="12.75">
      <c r="H40" s="2"/>
      <c r="J40" s="3"/>
      <c r="K40"/>
      <c r="Q40" s="4"/>
      <c r="R40" s="4"/>
      <c r="S40" s="3"/>
      <c r="U40" s="5"/>
      <c r="V40"/>
      <c r="W40"/>
      <c r="X40"/>
    </row>
    <row r="41" spans="1:24" ht="12.75">
      <c r="A41" s="6" t="s">
        <v>9</v>
      </c>
      <c r="H41" s="2"/>
      <c r="J41" s="3"/>
      <c r="K41"/>
      <c r="Q41" s="4"/>
      <c r="R41" s="4"/>
      <c r="S41" s="3"/>
      <c r="U41" s="5"/>
      <c r="V41"/>
      <c r="W41"/>
      <c r="X41"/>
    </row>
    <row r="42" spans="2:24" ht="12.75">
      <c r="B42" t="s">
        <v>21</v>
      </c>
      <c r="C42" t="s">
        <v>33</v>
      </c>
      <c r="D42" t="s">
        <v>34</v>
      </c>
      <c r="E42" t="s">
        <v>22</v>
      </c>
      <c r="F42" t="s">
        <v>23</v>
      </c>
      <c r="G42" t="s">
        <v>35</v>
      </c>
      <c r="H42" s="2" t="s">
        <v>36</v>
      </c>
      <c r="I42" t="s">
        <v>37</v>
      </c>
      <c r="J42" s="3" t="s">
        <v>38</v>
      </c>
      <c r="K42" t="s">
        <v>39</v>
      </c>
      <c r="L42" t="s">
        <v>40</v>
      </c>
      <c r="M42" s="3" t="s">
        <v>41</v>
      </c>
      <c r="N42" t="s">
        <v>42</v>
      </c>
      <c r="O42" t="s">
        <v>43</v>
      </c>
      <c r="P42" s="3" t="s">
        <v>44</v>
      </c>
      <c r="Q42" s="9" t="s">
        <v>45</v>
      </c>
      <c r="R42" s="9" t="s">
        <v>46</v>
      </c>
      <c r="S42" s="3" t="s">
        <v>47</v>
      </c>
      <c r="T42" s="10" t="s">
        <v>48</v>
      </c>
      <c r="U42" s="11" t="s">
        <v>49</v>
      </c>
      <c r="V42" s="9" t="s">
        <v>50</v>
      </c>
      <c r="W42"/>
      <c r="X42"/>
    </row>
    <row r="43" spans="2:24" ht="12.75">
      <c r="B43" s="4" t="s">
        <v>27</v>
      </c>
      <c r="C43">
        <v>106110.1032996031</v>
      </c>
      <c r="D43" s="1">
        <f>'life.exp'!G79</f>
        <v>70.15859446755853</v>
      </c>
      <c r="E43" s="1">
        <f>$B$7</f>
        <v>0</v>
      </c>
      <c r="F43" s="1">
        <f>$C$7</f>
        <v>0.38</v>
      </c>
      <c r="G43" s="1">
        <f>E43*F43</f>
        <v>0</v>
      </c>
      <c r="H43" s="2">
        <v>9940</v>
      </c>
      <c r="I43" s="1">
        <f>H43*G43</f>
        <v>0</v>
      </c>
      <c r="J43" s="3">
        <f>I43*$D$7/$B$3*(1-EXP(-$B$3*$B$4))</f>
        <v>0</v>
      </c>
      <c r="K43" s="2">
        <v>9940</v>
      </c>
      <c r="L43" s="1">
        <f>G43*K43</f>
        <v>0</v>
      </c>
      <c r="M43" s="3">
        <f>L43*$E$7/$B$3*(1-EXP(-$B$3*$B$4))</f>
        <v>0</v>
      </c>
      <c r="N43">
        <v>910</v>
      </c>
      <c r="O43" s="1">
        <f>N43*G43</f>
        <v>0</v>
      </c>
      <c r="P43" s="3">
        <f>O43*$F$7/$B$3/20*(1-EXP(-$B$3*$B$4))</f>
        <v>0</v>
      </c>
      <c r="Q43" s="4">
        <v>10</v>
      </c>
      <c r="R43" s="4">
        <f>Q43*E43</f>
        <v>0</v>
      </c>
      <c r="S43" s="3">
        <f>G43*Q43*(1/$B$3)*(1-EXP(-$B$3*$B$4))</f>
        <v>0</v>
      </c>
      <c r="T43" s="3">
        <f>P43+M43+J43+S43</f>
        <v>0</v>
      </c>
      <c r="U43" s="5">
        <f>E43*C43*$B$14/$B$3*(1-EXP(-$B$3*$B$4))</f>
        <v>0</v>
      </c>
      <c r="V43" s="1" t="e">
        <f>U43/T43</f>
        <v>#DIV/0!</v>
      </c>
      <c r="W43"/>
      <c r="X43"/>
    </row>
    <row r="44" spans="2:24" ht="12.75">
      <c r="B44" s="4" t="s">
        <v>28</v>
      </c>
      <c r="C44">
        <v>208530.8539251284</v>
      </c>
      <c r="D44" s="1">
        <f>'life.exp'!G80</f>
        <v>63.336155350580114</v>
      </c>
      <c r="E44" s="1">
        <f>$B$8</f>
        <v>0.2</v>
      </c>
      <c r="F44" s="1">
        <f>$C$8</f>
        <v>0.38</v>
      </c>
      <c r="G44" s="1">
        <f>E44*F44</f>
        <v>0.07600000000000001</v>
      </c>
      <c r="H44" s="2">
        <v>26920</v>
      </c>
      <c r="I44" s="1">
        <f>H44*G44</f>
        <v>2045.9200000000003</v>
      </c>
      <c r="J44" s="3">
        <f>I44*$D$8/$B$3*(1-EXP(-$B$3*$B$4))</f>
        <v>56.99606737448916</v>
      </c>
      <c r="K44" s="2">
        <v>26920</v>
      </c>
      <c r="L44" s="1">
        <f>G44*K44</f>
        <v>2045.9200000000003</v>
      </c>
      <c r="M44" s="3">
        <f>L44*$E$8/$B$3*(1-EXP(-$B$3*$B$4))</f>
        <v>1101.9239692401238</v>
      </c>
      <c r="N44">
        <v>13370</v>
      </c>
      <c r="O44" s="1">
        <f>N44*G44</f>
        <v>1016.1200000000001</v>
      </c>
      <c r="P44" s="3">
        <f>O44*$F$8/$B$3/20*(1-EXP(-$B$3*$B$4))</f>
        <v>5.661496439798812</v>
      </c>
      <c r="Q44" s="4">
        <v>10</v>
      </c>
      <c r="R44" s="4">
        <f>Q44*E44</f>
        <v>2</v>
      </c>
      <c r="S44" s="3">
        <f>G44*Q44*(1/$B$3)*(1-EXP(-$B$3*$B$4))</f>
        <v>3.5287312638985364</v>
      </c>
      <c r="T44" s="3">
        <f>P44+M44+J44+S44</f>
        <v>1168.1102643183106</v>
      </c>
      <c r="U44" s="5">
        <f>E44*C44*$B$14/$B$3*(1-EXP(-$B$3*$B$4))</f>
        <v>43666.84921363286</v>
      </c>
      <c r="V44" s="1">
        <f>U44/T44</f>
        <v>37.38247196990097</v>
      </c>
      <c r="W44"/>
      <c r="X44"/>
    </row>
    <row r="45" spans="2:24" ht="12.75">
      <c r="B45" t="s">
        <v>29</v>
      </c>
      <c r="C45">
        <v>685359.0427752687</v>
      </c>
      <c r="D45" s="1">
        <f>'life.exp'!G81</f>
        <v>37.80900613080272</v>
      </c>
      <c r="E45" s="1">
        <f>$B$9</f>
        <v>0</v>
      </c>
      <c r="F45" s="1">
        <f>$C$9</f>
        <v>0.38</v>
      </c>
      <c r="G45" s="1">
        <f>E45*F45</f>
        <v>0</v>
      </c>
      <c r="H45" s="2">
        <v>7500</v>
      </c>
      <c r="I45" s="1">
        <f>H45*G45</f>
        <v>0</v>
      </c>
      <c r="J45" s="3">
        <f>I45*$D$9/$B$3*(1-EXP(-$B$3*$B$4))</f>
        <v>0</v>
      </c>
      <c r="K45" s="2">
        <v>7500</v>
      </c>
      <c r="L45" s="1">
        <f>G45*K45</f>
        <v>0</v>
      </c>
      <c r="M45" s="3">
        <f>L45*$E$9/$B$3*(1-EXP(-$B$3*$B$4))</f>
        <v>0</v>
      </c>
      <c r="N45">
        <v>90</v>
      </c>
      <c r="O45" s="1">
        <f>N45*G45</f>
        <v>0</v>
      </c>
      <c r="P45" s="3">
        <f>O45*$F$9/$B$3/20*(1-EXP(-$B$3*$B$4))</f>
        <v>0</v>
      </c>
      <c r="Q45" s="4">
        <v>0</v>
      </c>
      <c r="R45" s="4">
        <f>Q45*E45</f>
        <v>0</v>
      </c>
      <c r="S45" s="3">
        <f>G45*Q45*(1/$B$3)*(1-EXP(-$B$3*$B$4))</f>
        <v>0</v>
      </c>
      <c r="T45" s="3">
        <f>P45+M45+J45+S45</f>
        <v>0</v>
      </c>
      <c r="U45" s="5">
        <f>E45*C45*$B$14/$B$3*(1-EXP(-$B$3*$B$4))</f>
        <v>0</v>
      </c>
      <c r="V45" s="1" t="e">
        <f>U45/T45</f>
        <v>#DIV/0!</v>
      </c>
      <c r="W45"/>
      <c r="X45"/>
    </row>
    <row r="46" spans="2:24" ht="12.75">
      <c r="B46" t="s">
        <v>4</v>
      </c>
      <c r="C46" s="1">
        <f>SUM(C43:C45)</f>
        <v>1000000.0000000002</v>
      </c>
      <c r="H46" s="2"/>
      <c r="I46" s="4">
        <f>SUM(I43:I45)</f>
        <v>2045.9200000000003</v>
      </c>
      <c r="J46" s="3">
        <f>SUM(J43:J45)</f>
        <v>56.99606737448916</v>
      </c>
      <c r="K46" s="4"/>
      <c r="L46" s="4">
        <f>SUM(L43:L45)</f>
        <v>2045.9200000000003</v>
      </c>
      <c r="M46" s="3">
        <f>SUM(M43:M45)</f>
        <v>1101.9239692401238</v>
      </c>
      <c r="N46" s="4"/>
      <c r="O46" s="4">
        <f>SUM(O43:O45)</f>
        <v>1016.1200000000001</v>
      </c>
      <c r="P46" s="3">
        <f>SUM(P43:P45)</f>
        <v>5.661496439798812</v>
      </c>
      <c r="Q46" s="4"/>
      <c r="R46" s="4">
        <f>SUM(R43:R45)</f>
        <v>2</v>
      </c>
      <c r="S46" s="3"/>
      <c r="T46" s="3">
        <f>SUM(T43:T45)</f>
        <v>1168.1102643183106</v>
      </c>
      <c r="U46" s="5">
        <f>SUM(U43:U45)</f>
        <v>43666.84921363286</v>
      </c>
      <c r="V46" s="1">
        <f>U46/T46</f>
        <v>37.38247196990097</v>
      </c>
      <c r="W46"/>
      <c r="X46"/>
    </row>
    <row r="47" spans="8:24" ht="12.75">
      <c r="H47" s="2"/>
      <c r="J47" s="3"/>
      <c r="K47"/>
      <c r="Q47" s="4"/>
      <c r="R47" s="4"/>
      <c r="S47" s="3"/>
      <c r="U47" s="5"/>
      <c r="V47"/>
      <c r="W47"/>
      <c r="X47"/>
    </row>
    <row r="48" spans="1:24" ht="12.75">
      <c r="A48" s="6" t="s">
        <v>10</v>
      </c>
      <c r="G48" s="4"/>
      <c r="H48" s="2"/>
      <c r="J48" s="3"/>
      <c r="K48"/>
      <c r="Q48" s="4"/>
      <c r="R48" s="4"/>
      <c r="S48" s="3"/>
      <c r="U48" s="5"/>
      <c r="V48"/>
      <c r="W48"/>
      <c r="X48"/>
    </row>
    <row r="49" spans="2:24" ht="12.75">
      <c r="B49" t="s">
        <v>21</v>
      </c>
      <c r="C49" t="s">
        <v>33</v>
      </c>
      <c r="D49" t="s">
        <v>34</v>
      </c>
      <c r="E49" t="s">
        <v>22</v>
      </c>
      <c r="F49" t="s">
        <v>23</v>
      </c>
      <c r="G49" t="s">
        <v>35</v>
      </c>
      <c r="H49" s="2" t="s">
        <v>36</v>
      </c>
      <c r="I49" t="s">
        <v>37</v>
      </c>
      <c r="J49" s="3" t="s">
        <v>38</v>
      </c>
      <c r="K49" t="s">
        <v>39</v>
      </c>
      <c r="L49" t="s">
        <v>40</v>
      </c>
      <c r="M49" s="3" t="s">
        <v>41</v>
      </c>
      <c r="N49" t="s">
        <v>42</v>
      </c>
      <c r="O49" t="s">
        <v>43</v>
      </c>
      <c r="P49" s="3" t="s">
        <v>44</v>
      </c>
      <c r="Q49" s="9" t="s">
        <v>45</v>
      </c>
      <c r="R49" s="9" t="s">
        <v>46</v>
      </c>
      <c r="S49" s="3" t="s">
        <v>47</v>
      </c>
      <c r="T49" s="10" t="s">
        <v>48</v>
      </c>
      <c r="U49" s="11" t="s">
        <v>49</v>
      </c>
      <c r="V49" s="9" t="s">
        <v>50</v>
      </c>
      <c r="W49"/>
      <c r="X49"/>
    </row>
    <row r="50" spans="2:24" ht="12.75">
      <c r="B50" s="4" t="s">
        <v>27</v>
      </c>
      <c r="C50">
        <v>120352.6129380068</v>
      </c>
      <c r="D50" s="1">
        <f>'life.exp'!G104</f>
        <v>68.46021185347429</v>
      </c>
      <c r="E50" s="1">
        <f>$B$7</f>
        <v>0</v>
      </c>
      <c r="F50" s="1">
        <f>$C$7</f>
        <v>0.38</v>
      </c>
      <c r="G50" s="1">
        <f>E50*F50</f>
        <v>0</v>
      </c>
      <c r="H50" s="2">
        <v>20</v>
      </c>
      <c r="I50" s="1">
        <f>H50*G50</f>
        <v>0</v>
      </c>
      <c r="J50" s="3">
        <f>I50*$D$7/$B$3*(1-EXP(-$B$3*$B$4))</f>
        <v>0</v>
      </c>
      <c r="K50" s="2">
        <v>20</v>
      </c>
      <c r="L50" s="1">
        <f>G50*K50</f>
        <v>0</v>
      </c>
      <c r="M50" s="3">
        <f>L50*$E$7/$B$3*(1-EXP(-$B$3*$B$4))</f>
        <v>0</v>
      </c>
      <c r="N50">
        <v>0</v>
      </c>
      <c r="O50" s="1">
        <f>N50*G50</f>
        <v>0</v>
      </c>
      <c r="P50" s="3">
        <f>O50*$F$7/$B$3/20*(1-EXP(-$B$3*$B$4))</f>
        <v>0</v>
      </c>
      <c r="Q50" s="4">
        <v>0</v>
      </c>
      <c r="R50" s="4">
        <f>Q50*E50</f>
        <v>0</v>
      </c>
      <c r="S50" s="3">
        <f>G50*Q50*(1/$B$3)*(1-EXP(-$B$3*$B$4))</f>
        <v>0</v>
      </c>
      <c r="T50" s="3">
        <f>P50+M50+J50+S50</f>
        <v>0</v>
      </c>
      <c r="U50" s="5">
        <f>E50*C50*$B$14/$B$3*(1-EXP(-$B$3*$B$4))</f>
        <v>0</v>
      </c>
      <c r="V50" s="1" t="e">
        <f>U50/T50</f>
        <v>#DIV/0!</v>
      </c>
      <c r="W50"/>
      <c r="X50"/>
    </row>
    <row r="51" spans="2:24" ht="12.75">
      <c r="B51" s="4" t="s">
        <v>28</v>
      </c>
      <c r="C51">
        <v>243729.4123397523</v>
      </c>
      <c r="D51" s="1">
        <f>'life.exp'!G105</f>
        <v>62.24653431708676</v>
      </c>
      <c r="E51" s="1">
        <f>$B$8</f>
        <v>0.2</v>
      </c>
      <c r="F51" s="1">
        <f>$C$8</f>
        <v>0.38</v>
      </c>
      <c r="G51" s="1">
        <f>E51*F51</f>
        <v>0.07600000000000001</v>
      </c>
      <c r="H51" s="2">
        <v>100</v>
      </c>
      <c r="I51" s="1">
        <f>H51*G51</f>
        <v>7.600000000000001</v>
      </c>
      <c r="J51" s="3">
        <f>I51*$D$8/$B$3*(1-EXP(-$B$3*$B$4))</f>
        <v>0.21172387583391217</v>
      </c>
      <c r="K51" s="2">
        <v>100</v>
      </c>
      <c r="L51" s="1">
        <f>G51*K51</f>
        <v>7.600000000000001</v>
      </c>
      <c r="M51" s="3">
        <f>L51*$E$8/$B$3*(1-EXP(-$B$3*$B$4))</f>
        <v>4.0933282661223025</v>
      </c>
      <c r="N51">
        <v>0</v>
      </c>
      <c r="O51" s="1">
        <f>N51*G51</f>
        <v>0</v>
      </c>
      <c r="P51" s="3">
        <f>O51*$F$8/$B$3/20*(1-EXP(-$B$3*$B$4))</f>
        <v>0</v>
      </c>
      <c r="Q51" s="4">
        <v>0</v>
      </c>
      <c r="R51" s="4">
        <f>Q51*E51</f>
        <v>0</v>
      </c>
      <c r="S51" s="3">
        <f>G51*Q51*(1/$B$3)*(1-EXP(-$B$3*$B$4))</f>
        <v>0</v>
      </c>
      <c r="T51" s="3">
        <f>P51+M51+J51+S51</f>
        <v>4.305052141956215</v>
      </c>
      <c r="U51" s="5">
        <f>E51*C51*$B$14/$B$3*(1-EXP(-$B$3*$B$4))</f>
        <v>51037.50978446849</v>
      </c>
      <c r="V51" s="1">
        <f>U51/T51</f>
        <v>11855.25937933868</v>
      </c>
      <c r="W51"/>
      <c r="X51"/>
    </row>
    <row r="52" spans="2:24" ht="12.75">
      <c r="B52" t="s">
        <v>29</v>
      </c>
      <c r="C52">
        <v>635917.9747222407</v>
      </c>
      <c r="D52" s="1">
        <f>'life.exp'!G106</f>
        <v>38.75512877875071</v>
      </c>
      <c r="E52" s="1">
        <f>$B$9</f>
        <v>0</v>
      </c>
      <c r="F52" s="1">
        <f>$C$9</f>
        <v>0.38</v>
      </c>
      <c r="G52" s="1">
        <f>E52*F52</f>
        <v>0</v>
      </c>
      <c r="H52" s="2">
        <v>30</v>
      </c>
      <c r="I52" s="1">
        <f>H52*G52</f>
        <v>0</v>
      </c>
      <c r="J52" s="3">
        <f>I52*$D$9/$B$3*(1-EXP(-$B$3*$B$4))</f>
        <v>0</v>
      </c>
      <c r="K52" s="2">
        <v>30</v>
      </c>
      <c r="L52" s="1">
        <f>G52*K52</f>
        <v>0</v>
      </c>
      <c r="M52" s="3">
        <f>L52*$E$9/$B$3*(1-EXP(-$B$3*$B$4))</f>
        <v>0</v>
      </c>
      <c r="N52">
        <v>0</v>
      </c>
      <c r="O52" s="1">
        <f>N52*G52</f>
        <v>0</v>
      </c>
      <c r="P52" s="3">
        <f>O52*$F$9/$B$3/20*(1-EXP(-$B$3*$B$4))</f>
        <v>0</v>
      </c>
      <c r="Q52" s="4">
        <v>0</v>
      </c>
      <c r="R52" s="4">
        <f>Q52*E52</f>
        <v>0</v>
      </c>
      <c r="S52" s="3">
        <f>G52*Q52*(1/$B$3)*(1-EXP(-$B$3*$B$4))</f>
        <v>0</v>
      </c>
      <c r="T52" s="3">
        <f>P52+M52+J52+S52</f>
        <v>0</v>
      </c>
      <c r="U52" s="5">
        <f>E52*C52*$B$14/$B$3*(1-EXP(-$B$3*$B$4))</f>
        <v>0</v>
      </c>
      <c r="V52" s="1" t="e">
        <f>U52/T52</f>
        <v>#DIV/0!</v>
      </c>
      <c r="W52"/>
      <c r="X52"/>
    </row>
    <row r="53" spans="2:24" ht="12.75">
      <c r="B53" t="s">
        <v>4</v>
      </c>
      <c r="C53" s="1">
        <f>SUM(C50:C52)</f>
        <v>999999.9999999998</v>
      </c>
      <c r="H53" s="2"/>
      <c r="I53" s="4">
        <f>SUM(I50:I52)</f>
        <v>7.600000000000001</v>
      </c>
      <c r="J53" s="3">
        <f>SUM(J50:J52)</f>
        <v>0.21172387583391217</v>
      </c>
      <c r="K53" s="4"/>
      <c r="L53" s="4">
        <f>SUM(L50:L52)</f>
        <v>7.600000000000001</v>
      </c>
      <c r="M53" s="3">
        <f>SUM(M50:M52)</f>
        <v>4.0933282661223025</v>
      </c>
      <c r="N53" s="4"/>
      <c r="O53" s="4">
        <f>SUM(O50:O52)</f>
        <v>0</v>
      </c>
      <c r="P53" s="3">
        <f>SUM(P50:P52)</f>
        <v>0</v>
      </c>
      <c r="Q53" s="4"/>
      <c r="R53" s="4">
        <f>SUM(R50:R52)</f>
        <v>0</v>
      </c>
      <c r="S53" s="3"/>
      <c r="T53" s="3">
        <f>SUM(T50:T52)</f>
        <v>4.305052141956215</v>
      </c>
      <c r="U53" s="5">
        <f>SUM(U50:U52)</f>
        <v>51037.50978446849</v>
      </c>
      <c r="V53" s="1">
        <f>U53/T53</f>
        <v>11855.25937933868</v>
      </c>
      <c r="W53"/>
      <c r="X53"/>
    </row>
    <row r="54" spans="8:24" ht="12.75">
      <c r="H54" s="2"/>
      <c r="J54" s="3"/>
      <c r="K54"/>
      <c r="Q54" s="4"/>
      <c r="R54" s="4"/>
      <c r="S54" s="3"/>
      <c r="U54" s="5"/>
      <c r="V54"/>
      <c r="W54"/>
      <c r="X54"/>
    </row>
    <row r="55" spans="1:24" ht="12.75">
      <c r="A55" s="6" t="s">
        <v>11</v>
      </c>
      <c r="G55" s="4"/>
      <c r="H55" s="2"/>
      <c r="J55" s="3"/>
      <c r="K55"/>
      <c r="Q55" s="4"/>
      <c r="R55" s="4"/>
      <c r="S55" s="3"/>
      <c r="U55" s="5"/>
      <c r="V55"/>
      <c r="W55"/>
      <c r="X55"/>
    </row>
    <row r="56" spans="2:24" ht="12.75">
      <c r="B56" t="s">
        <v>21</v>
      </c>
      <c r="C56" t="s">
        <v>33</v>
      </c>
      <c r="D56" t="s">
        <v>34</v>
      </c>
      <c r="E56" t="s">
        <v>22</v>
      </c>
      <c r="F56" t="s">
        <v>23</v>
      </c>
      <c r="G56" t="s">
        <v>35</v>
      </c>
      <c r="H56" s="2" t="s">
        <v>36</v>
      </c>
      <c r="I56" t="s">
        <v>37</v>
      </c>
      <c r="J56" s="3" t="s">
        <v>38</v>
      </c>
      <c r="K56" t="s">
        <v>39</v>
      </c>
      <c r="L56" t="s">
        <v>40</v>
      </c>
      <c r="M56" s="3" t="s">
        <v>41</v>
      </c>
      <c r="N56" t="s">
        <v>42</v>
      </c>
      <c r="O56" t="s">
        <v>43</v>
      </c>
      <c r="P56" s="3" t="s">
        <v>44</v>
      </c>
      <c r="Q56" s="9" t="s">
        <v>45</v>
      </c>
      <c r="R56" s="9" t="s">
        <v>46</v>
      </c>
      <c r="S56" s="3" t="s">
        <v>47</v>
      </c>
      <c r="T56" s="10" t="s">
        <v>48</v>
      </c>
      <c r="U56" s="11" t="s">
        <v>49</v>
      </c>
      <c r="V56" s="9" t="s">
        <v>50</v>
      </c>
      <c r="W56"/>
      <c r="X56"/>
    </row>
    <row r="57" spans="2:24" ht="12.75">
      <c r="B57" s="4" t="s">
        <v>27</v>
      </c>
      <c r="C57">
        <v>123718.82423966541</v>
      </c>
      <c r="D57" s="1">
        <f>'life.exp'!G129</f>
        <v>63.8466580985906</v>
      </c>
      <c r="E57" s="1">
        <f>$B$7</f>
        <v>0</v>
      </c>
      <c r="F57" s="1">
        <f>$C$7</f>
        <v>0.38</v>
      </c>
      <c r="G57" s="1">
        <f>E57*F57</f>
        <v>0</v>
      </c>
      <c r="H57" s="2">
        <v>2060</v>
      </c>
      <c r="I57" s="1">
        <f>H57*G57</f>
        <v>0</v>
      </c>
      <c r="J57" s="3">
        <f>I57*$D$7/$B$3*(1-EXP(-$B$3*$B$4))</f>
        <v>0</v>
      </c>
      <c r="K57" s="2">
        <v>2060</v>
      </c>
      <c r="L57" s="1">
        <f>G57*K57</f>
        <v>0</v>
      </c>
      <c r="M57" s="3">
        <f>L57*$E$7/$B$3*(1-EXP(-$B$3*$B$4))</f>
        <v>0</v>
      </c>
      <c r="N57">
        <v>190</v>
      </c>
      <c r="O57" s="1">
        <f>N57*G57</f>
        <v>0</v>
      </c>
      <c r="P57" s="3">
        <f>O57*$F$7/$B$3/20*(1-EXP(-$B$3*$B$4))</f>
        <v>0</v>
      </c>
      <c r="Q57" s="4">
        <v>0</v>
      </c>
      <c r="R57" s="4">
        <f>Q57*E57</f>
        <v>0</v>
      </c>
      <c r="S57" s="3">
        <f>G57*Q57*(1/$B$3)*(1-EXP(-$B$3*$B$4))</f>
        <v>0</v>
      </c>
      <c r="T57" s="3">
        <f>P57+M57+J57+S57</f>
        <v>0</v>
      </c>
      <c r="U57" s="5">
        <f>E57*C57*$B$14/$B$3*(1-EXP(-$B$3*$B$4))</f>
        <v>0</v>
      </c>
      <c r="V57" s="1" t="e">
        <f>U57/T57</f>
        <v>#DIV/0!</v>
      </c>
      <c r="W57"/>
      <c r="X57"/>
    </row>
    <row r="58" spans="2:24" ht="12.75">
      <c r="B58" s="4" t="s">
        <v>28</v>
      </c>
      <c r="C58">
        <v>228922.51809283328</v>
      </c>
      <c r="D58" s="1">
        <f>'life.exp'!G130</f>
        <v>58.711973776496336</v>
      </c>
      <c r="E58" s="1">
        <f>$B$8</f>
        <v>0.2</v>
      </c>
      <c r="F58" s="1">
        <f>$C$8</f>
        <v>0.38</v>
      </c>
      <c r="G58" s="1">
        <f>E58*F58</f>
        <v>0.07600000000000001</v>
      </c>
      <c r="H58" s="2">
        <v>5640</v>
      </c>
      <c r="I58" s="1">
        <f>H58*G58</f>
        <v>428.64000000000004</v>
      </c>
      <c r="J58" s="3">
        <f>I58*$D$8/$B$3*(1-EXP(-$B$3*$B$4))</f>
        <v>11.941226597032646</v>
      </c>
      <c r="K58" s="2">
        <v>5640</v>
      </c>
      <c r="L58" s="1">
        <f>G58*K58</f>
        <v>428.64000000000004</v>
      </c>
      <c r="M58" s="3">
        <f>L58*$E$8/$B$3*(1-EXP(-$B$3*$B$4))</f>
        <v>230.86371420929783</v>
      </c>
      <c r="N58">
        <v>2800</v>
      </c>
      <c r="O58" s="1">
        <f>N58*G58</f>
        <v>212.80000000000004</v>
      </c>
      <c r="P58" s="3">
        <f>O58*$F$8/$B$3/20*(1-EXP(-$B$3*$B$4))</f>
        <v>1.1856537046699083</v>
      </c>
      <c r="Q58" s="4">
        <v>0</v>
      </c>
      <c r="R58" s="4">
        <f>Q58*E58</f>
        <v>0</v>
      </c>
      <c r="S58" s="3">
        <f>G58*Q58*(1/$B$3)*(1-EXP(-$B$3*$B$4))</f>
        <v>0</v>
      </c>
      <c r="T58" s="3">
        <f>P58+M58+J58+S58</f>
        <v>243.99059451100038</v>
      </c>
      <c r="U58" s="5">
        <f>E58*C58*$B$14/$B$3*(1-EXP(-$B$3*$B$4))</f>
        <v>47936.91144982317</v>
      </c>
      <c r="V58" s="1">
        <f>U58/T58</f>
        <v>196.4703252020722</v>
      </c>
      <c r="W58"/>
      <c r="X58"/>
    </row>
    <row r="59" spans="2:24" ht="12.75">
      <c r="B59" t="s">
        <v>29</v>
      </c>
      <c r="C59">
        <v>647358.6576675014</v>
      </c>
      <c r="D59" s="1">
        <f>'life.exp'!G131</f>
        <v>34.80691400618806</v>
      </c>
      <c r="E59" s="1">
        <f>$B$9</f>
        <v>0</v>
      </c>
      <c r="F59" s="1">
        <f>$C$9</f>
        <v>0.38</v>
      </c>
      <c r="G59" s="1">
        <f>E59*F59</f>
        <v>0</v>
      </c>
      <c r="H59" s="2">
        <v>1560</v>
      </c>
      <c r="I59" s="1">
        <f>H59*G59</f>
        <v>0</v>
      </c>
      <c r="J59" s="3">
        <f>I59*$D$9/$B$3*(1-EXP(-$B$3*$B$4))</f>
        <v>0</v>
      </c>
      <c r="K59" s="2">
        <v>1560</v>
      </c>
      <c r="L59" s="1">
        <f>G59*K59</f>
        <v>0</v>
      </c>
      <c r="M59" s="3">
        <f>L59*$E$9/$B$3*(1-EXP(-$B$3*$B$4))</f>
        <v>0</v>
      </c>
      <c r="N59">
        <v>30</v>
      </c>
      <c r="O59" s="1">
        <f>N59*G59</f>
        <v>0</v>
      </c>
      <c r="P59" s="3">
        <f>O59*$F$9/$B$3/20*(1-EXP(-$B$3*$B$4))</f>
        <v>0</v>
      </c>
      <c r="Q59" s="4">
        <v>0</v>
      </c>
      <c r="R59" s="4">
        <f>Q59*E59</f>
        <v>0</v>
      </c>
      <c r="S59" s="3">
        <f>G59*Q59*(1/$B$3)*(1-EXP(-$B$3*$B$4))</f>
        <v>0</v>
      </c>
      <c r="T59" s="3">
        <f>P59+M59+J59+S59</f>
        <v>0</v>
      </c>
      <c r="U59" s="5">
        <f>E59*C59*$B$14/$B$3*(1-EXP(-$B$3*$B$4))</f>
        <v>0</v>
      </c>
      <c r="V59" s="1" t="e">
        <f>U59/T59</f>
        <v>#DIV/0!</v>
      </c>
      <c r="W59"/>
      <c r="X59"/>
    </row>
    <row r="60" spans="2:24" ht="12.75">
      <c r="B60" t="s">
        <v>4</v>
      </c>
      <c r="C60" s="1">
        <f>SUM(C57:C59)</f>
        <v>1000000</v>
      </c>
      <c r="H60" s="2"/>
      <c r="I60" s="4">
        <f>SUM(I57:I59)</f>
        <v>428.64000000000004</v>
      </c>
      <c r="J60" s="3">
        <f>SUM(J57:J59)</f>
        <v>11.941226597032646</v>
      </c>
      <c r="K60" s="4"/>
      <c r="L60" s="4">
        <f>SUM(L57:L59)</f>
        <v>428.64000000000004</v>
      </c>
      <c r="M60" s="3">
        <f>SUM(M57:M59)</f>
        <v>230.86371420929783</v>
      </c>
      <c r="N60" s="4"/>
      <c r="O60" s="4">
        <f>SUM(O57:O59)</f>
        <v>212.80000000000004</v>
      </c>
      <c r="P60" s="3">
        <f>SUM(P57:P59)</f>
        <v>1.1856537046699083</v>
      </c>
      <c r="Q60" s="4"/>
      <c r="R60" s="4">
        <f>SUM(R57:R59)</f>
        <v>0</v>
      </c>
      <c r="S60" s="3"/>
      <c r="T60" s="3">
        <f>SUM(T57:T59)</f>
        <v>243.99059451100038</v>
      </c>
      <c r="U60" s="5">
        <f>SUM(U57:U59)</f>
        <v>47936.91144982317</v>
      </c>
      <c r="V60" s="1">
        <f>U60/T60</f>
        <v>196.4703252020722</v>
      </c>
      <c r="W60"/>
      <c r="X60"/>
    </row>
    <row r="61" spans="8:24" ht="12.75">
      <c r="H61" s="2"/>
      <c r="J61" s="3"/>
      <c r="K61"/>
      <c r="Q61" s="4"/>
      <c r="R61" s="4"/>
      <c r="S61" s="3"/>
      <c r="U61" s="5"/>
      <c r="V61"/>
      <c r="W61"/>
      <c r="X61"/>
    </row>
    <row r="62" spans="1:24" ht="12.75">
      <c r="A62" s="6" t="s">
        <v>12</v>
      </c>
      <c r="H62" s="2"/>
      <c r="J62" s="3"/>
      <c r="K62"/>
      <c r="Q62" s="4"/>
      <c r="R62" s="4"/>
      <c r="S62" s="3"/>
      <c r="U62" s="5"/>
      <c r="V62"/>
      <c r="W62"/>
      <c r="X62"/>
    </row>
    <row r="63" spans="2:24" ht="12.75">
      <c r="B63" t="s">
        <v>21</v>
      </c>
      <c r="C63" t="s">
        <v>33</v>
      </c>
      <c r="D63" t="s">
        <v>34</v>
      </c>
      <c r="E63" t="s">
        <v>22</v>
      </c>
      <c r="F63" t="s">
        <v>23</v>
      </c>
      <c r="G63" t="s">
        <v>35</v>
      </c>
      <c r="H63" s="2" t="s">
        <v>36</v>
      </c>
      <c r="I63" t="s">
        <v>37</v>
      </c>
      <c r="J63" s="3" t="s">
        <v>38</v>
      </c>
      <c r="K63" t="s">
        <v>39</v>
      </c>
      <c r="L63" t="s">
        <v>40</v>
      </c>
      <c r="M63" s="3" t="s">
        <v>41</v>
      </c>
      <c r="N63" t="s">
        <v>42</v>
      </c>
      <c r="O63" t="s">
        <v>43</v>
      </c>
      <c r="P63" s="3" t="s">
        <v>44</v>
      </c>
      <c r="Q63" s="9" t="s">
        <v>45</v>
      </c>
      <c r="R63" s="9" t="s">
        <v>46</v>
      </c>
      <c r="S63" s="3" t="s">
        <v>47</v>
      </c>
      <c r="T63" s="10" t="s">
        <v>48</v>
      </c>
      <c r="U63" s="11" t="s">
        <v>49</v>
      </c>
      <c r="V63" s="9" t="s">
        <v>50</v>
      </c>
      <c r="W63"/>
      <c r="X63"/>
    </row>
    <row r="64" spans="2:24" ht="12.75">
      <c r="B64" s="4" t="s">
        <v>27</v>
      </c>
      <c r="C64">
        <v>169661.64443246892</v>
      </c>
      <c r="D64" s="1">
        <f>'life.exp'!G154</f>
        <v>47.83128974790552</v>
      </c>
      <c r="E64" s="1">
        <f>$B$7</f>
        <v>0</v>
      </c>
      <c r="F64" s="1">
        <f>$C$7</f>
        <v>0.38</v>
      </c>
      <c r="G64" s="1">
        <f>E64*F64</f>
        <v>0</v>
      </c>
      <c r="H64" s="2">
        <v>2400</v>
      </c>
      <c r="I64" s="1">
        <f>H64*G64</f>
        <v>0</v>
      </c>
      <c r="J64" s="3">
        <f>I64*$D$7/$B$3*(1-EXP(-$B$3*$B$4))</f>
        <v>0</v>
      </c>
      <c r="K64" s="2">
        <v>2400</v>
      </c>
      <c r="L64" s="1">
        <f>G64*K64</f>
        <v>0</v>
      </c>
      <c r="M64" s="3">
        <f>L64*$E$7/$B$3*(1-EXP(-$B$3*$B$4))</f>
        <v>0</v>
      </c>
      <c r="N64">
        <v>190</v>
      </c>
      <c r="O64" s="1">
        <f>N64*G64</f>
        <v>0</v>
      </c>
      <c r="P64" s="3">
        <f>O64*$F$7/$B$3/20*(1-EXP(-$B$3*$B$4))</f>
        <v>0</v>
      </c>
      <c r="Q64" s="4">
        <v>10</v>
      </c>
      <c r="R64" s="4">
        <f>Q64*E64</f>
        <v>0</v>
      </c>
      <c r="S64" s="3">
        <f>G64*Q64*(1/$B$3)*(1-EXP(-$B$3*$B$4))</f>
        <v>0</v>
      </c>
      <c r="T64" s="3">
        <f>P64+M64+J64+S64</f>
        <v>0</v>
      </c>
      <c r="U64" s="5">
        <f>E64*C64*$B$14/$B$3*(1-EXP(-$B$3*$B$4))</f>
        <v>0</v>
      </c>
      <c r="V64" s="1" t="e">
        <f>U64/T64</f>
        <v>#DIV/0!</v>
      </c>
      <c r="W64"/>
      <c r="X64"/>
    </row>
    <row r="65" spans="2:24" ht="12.75">
      <c r="B65" s="4" t="s">
        <v>28</v>
      </c>
      <c r="C65">
        <v>272923.56572590594</v>
      </c>
      <c r="D65" s="1">
        <f>'life.exp'!G155</f>
        <v>44.97143509785186</v>
      </c>
      <c r="E65" s="1">
        <f>$B$8</f>
        <v>0.2</v>
      </c>
      <c r="F65" s="1">
        <f>$C$8</f>
        <v>0.38</v>
      </c>
      <c r="G65" s="1">
        <f>E65*F65</f>
        <v>0.07600000000000001</v>
      </c>
      <c r="H65" s="2">
        <v>6920</v>
      </c>
      <c r="I65" s="1">
        <f>H65*G65</f>
        <v>525.9200000000001</v>
      </c>
      <c r="J65" s="3">
        <f>I65*$D$8/$B$3*(1-EXP(-$B$3*$B$4))</f>
        <v>14.651292207706723</v>
      </c>
      <c r="K65" s="2">
        <v>6920</v>
      </c>
      <c r="L65" s="1">
        <f>G65*K65</f>
        <v>525.9200000000001</v>
      </c>
      <c r="M65" s="3">
        <f>L65*$E$8/$B$3*(1-EXP(-$B$3*$B$4))</f>
        <v>283.2583160156633</v>
      </c>
      <c r="N65">
        <v>3210</v>
      </c>
      <c r="O65" s="1">
        <f>N65*G65</f>
        <v>243.96000000000004</v>
      </c>
      <c r="P65" s="3">
        <f>O65*$F$8/$B$3/20*(1-EXP(-$B$3*$B$4))</f>
        <v>1.3592672828537162</v>
      </c>
      <c r="Q65" s="4">
        <v>0</v>
      </c>
      <c r="R65" s="4">
        <f>Q65*E65</f>
        <v>0</v>
      </c>
      <c r="S65" s="3">
        <f>G65*Q65*(1/$B$3)*(1-EXP(-$B$3*$B$4))</f>
        <v>0</v>
      </c>
      <c r="T65" s="3">
        <f>P65+M65+J65+S65</f>
        <v>299.2688755062237</v>
      </c>
      <c r="U65" s="5">
        <f>E65*C65*$B$14/$B$3*(1-EXP(-$B$3*$B$4))</f>
        <v>57150.83387937943</v>
      </c>
      <c r="V65" s="1">
        <f>U65/T65</f>
        <v>190.96818465571073</v>
      </c>
      <c r="W65"/>
      <c r="X65"/>
    </row>
    <row r="66" spans="2:24" ht="12.75">
      <c r="B66" t="s">
        <v>29</v>
      </c>
      <c r="C66">
        <v>557414.7898416251</v>
      </c>
      <c r="D66" s="1">
        <f>'life.exp'!G156</f>
        <v>29.06903553175047</v>
      </c>
      <c r="E66" s="1">
        <f>$B$9</f>
        <v>0</v>
      </c>
      <c r="F66" s="1">
        <f>$C$9</f>
        <v>0.38</v>
      </c>
      <c r="G66" s="1">
        <f>E66*F66</f>
        <v>0</v>
      </c>
      <c r="H66" s="2">
        <v>1680</v>
      </c>
      <c r="I66" s="1">
        <f>H66*G66</f>
        <v>0</v>
      </c>
      <c r="J66" s="3">
        <f>I66*$D$9/$B$3*(1-EXP(-$B$3*$B$4))</f>
        <v>0</v>
      </c>
      <c r="K66" s="2">
        <v>1680</v>
      </c>
      <c r="L66" s="1">
        <f>G66*K66</f>
        <v>0</v>
      </c>
      <c r="M66" s="3">
        <f>L66*$E$9/$B$3*(1-EXP(-$B$3*$B$4))</f>
        <v>0</v>
      </c>
      <c r="N66">
        <v>0</v>
      </c>
      <c r="O66" s="1">
        <f>N66*G66</f>
        <v>0</v>
      </c>
      <c r="P66" s="3">
        <f>O66*$F$9/$B$3/20*(1-EXP(-$B$3*$B$4))</f>
        <v>0</v>
      </c>
      <c r="Q66" s="4">
        <v>0</v>
      </c>
      <c r="R66" s="4">
        <f>Q66*E66</f>
        <v>0</v>
      </c>
      <c r="S66" s="3">
        <f>G66*Q66*(1/$B$3)*(1-EXP(-$B$3*$B$4))</f>
        <v>0</v>
      </c>
      <c r="T66" s="3">
        <f>P66+M66+J66+S66</f>
        <v>0</v>
      </c>
      <c r="U66" s="5">
        <f>E66*C66*$B$14/$B$3*(1-EXP(-$B$3*$B$4))</f>
        <v>0</v>
      </c>
      <c r="V66" s="1" t="e">
        <f>U66/T66</f>
        <v>#DIV/0!</v>
      </c>
      <c r="W66"/>
      <c r="X66"/>
    </row>
    <row r="67" spans="2:24" ht="12.75">
      <c r="B67" t="s">
        <v>4</v>
      </c>
      <c r="C67" s="1">
        <f>SUM(C64:C66)</f>
        <v>1000000</v>
      </c>
      <c r="H67" s="2"/>
      <c r="I67" s="4">
        <f>SUM(I64:I66)</f>
        <v>525.9200000000001</v>
      </c>
      <c r="J67" s="3">
        <f>SUM(J64:J66)</f>
        <v>14.651292207706723</v>
      </c>
      <c r="K67" s="4"/>
      <c r="L67" s="4">
        <f>SUM(L64:L66)</f>
        <v>525.9200000000001</v>
      </c>
      <c r="M67" s="3">
        <f>SUM(M64:M66)</f>
        <v>283.2583160156633</v>
      </c>
      <c r="N67" s="4"/>
      <c r="O67" s="4">
        <f>SUM(O64:O66)</f>
        <v>243.96000000000004</v>
      </c>
      <c r="P67" s="3">
        <f>SUM(P64:P66)</f>
        <v>1.3592672828537162</v>
      </c>
      <c r="Q67" s="4"/>
      <c r="R67" s="4">
        <f>SUM(R64:R66)</f>
        <v>0</v>
      </c>
      <c r="S67" s="3"/>
      <c r="T67" s="3">
        <f>SUM(T64:T66)</f>
        <v>299.2688755062237</v>
      </c>
      <c r="U67" s="5">
        <f>SUM(U64:U66)</f>
        <v>57150.83387937943</v>
      </c>
      <c r="V67" s="1">
        <f>U67/T67</f>
        <v>190.96818465571073</v>
      </c>
      <c r="W67"/>
      <c r="X67"/>
    </row>
    <row r="68" spans="10:45" ht="12.75"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</row>
    <row r="69" spans="10:45" ht="12.75"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spans="10:45" ht="12.75"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</row>
    <row r="71" spans="10:45" ht="12.75"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spans="10:45" ht="12.75"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0:45" ht="12.75"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10:45" ht="12.75"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10:45" ht="12.75"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0:45" ht="12.75"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0:45" ht="12.75"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0:45" ht="12.75"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0:45" ht="12.75"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0:45" ht="12.75"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0:45" ht="12.75"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0:45" ht="12.75"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0:45" ht="12.75"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0:45" ht="12.75"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0:45" ht="12.75"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0:45" ht="12.75"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0:45" ht="12.75"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</row>
    <row r="88" spans="10:45" ht="12.75"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</row>
    <row r="89" spans="10:45" ht="12.75"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0:45" ht="12.75"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10:45" ht="12.75"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0:45" ht="12.75"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10:45" ht="12.75"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10:45" ht="12.75"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10:45" ht="12.75"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0:45" ht="12.75"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0:45" ht="12.75"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0:45" ht="12.75"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</row>
    <row r="99" spans="10:45" ht="12.75"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</row>
    <row r="100" spans="10:45" ht="12.75"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spans="10:45" ht="12.75"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</row>
    <row r="102" spans="10:45" ht="12.75"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</row>
    <row r="103" spans="10:45" ht="12.75"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  <row r="104" spans="10:45" ht="12.75"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</row>
    <row r="105" spans="10:45" ht="12.75"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</row>
    <row r="106" spans="10:45" ht="12.7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</row>
    <row r="107" spans="10:45" ht="12.75"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</row>
    <row r="108" spans="10:45" ht="12.75"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</row>
    <row r="109" spans="10:45" ht="12.75"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</row>
    <row r="110" spans="10:45" ht="12.75"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10:45" ht="12.7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</row>
    <row r="112" spans="10:45" ht="12.7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10:45" ht="12.75"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10:45" ht="12.75"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10:45" ht="12.75"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10:45" ht="12.75"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10:45" ht="12.75"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</row>
    <row r="118" spans="10:45" ht="12.75"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</row>
    <row r="119" spans="10:45" ht="12.75"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</row>
    <row r="120" spans="10:45" ht="12.75"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</row>
    <row r="121" spans="10:45" ht="12.75"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</row>
    <row r="122" spans="10:45" ht="12.75"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</row>
    <row r="123" spans="10:45" ht="12.75"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</row>
    <row r="124" spans="10:45" ht="12.75"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</row>
    <row r="125" spans="10:45" ht="12.75"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</row>
    <row r="126" spans="10:45" ht="12.75"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</row>
    <row r="127" spans="10:45" ht="12.75"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</row>
    <row r="128" spans="10:45" ht="12.75"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</row>
    <row r="129" spans="10:45" ht="12.75"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</row>
    <row r="130" spans="10:45" ht="12.75"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</row>
    <row r="131" spans="10:45" ht="12.75"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</row>
    <row r="132" spans="10:45" ht="12.75"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</row>
    <row r="133" spans="10:45" ht="12.7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</row>
    <row r="134" spans="10:45" ht="12.75"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</row>
    <row r="135" spans="10:45" ht="12.75"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</row>
    <row r="136" spans="10:45" ht="12.75"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</row>
    <row r="137" spans="10:45" ht="12.75"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</row>
    <row r="138" spans="10:45" ht="12.75"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</row>
    <row r="139" spans="10:45" ht="12.75"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</row>
    <row r="140" spans="10:45" ht="12.75"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</row>
    <row r="141" spans="10:45" ht="12.75"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</row>
    <row r="142" spans="10:45" ht="12.75"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</row>
    <row r="143" spans="10:45" ht="12.75"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</row>
    <row r="144" spans="10:45" ht="12.75"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</row>
    <row r="145" spans="10:45" ht="12.75"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</row>
    <row r="146" spans="10:45" ht="12.75"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</row>
    <row r="147" spans="10:45" ht="12.75"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</row>
    <row r="148" spans="10:45" ht="12.75"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</row>
    <row r="149" spans="10:45" ht="12.75"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</row>
    <row r="150" spans="10:45" ht="12.75"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</row>
    <row r="151" spans="10:45" ht="12.75"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</row>
    <row r="152" spans="10:45" ht="12.75"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</row>
    <row r="153" spans="10:45" ht="12.75"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</row>
    <row r="154" spans="10:45" ht="12.75"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</row>
    <row r="155" spans="10:45" ht="12.75"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</row>
    <row r="156" spans="10:45" ht="12.75"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</row>
    <row r="157" spans="10:45" ht="12.75"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</row>
    <row r="158" spans="10:45" ht="12.75"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</row>
    <row r="159" spans="10:45" ht="12.75"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</row>
    <row r="160" spans="10:45" ht="12.75"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</row>
    <row r="161" spans="10:45" ht="12.75"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</row>
    <row r="162" spans="10:45" ht="12.75"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</row>
    <row r="163" spans="10:45" ht="12.75"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</row>
    <row r="164" spans="10:45" ht="12.75"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</row>
    <row r="165" spans="10:45" ht="12.75"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</row>
    <row r="166" spans="10:45" ht="12.75"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</row>
    <row r="167" spans="10:45" ht="12.7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</row>
    <row r="168" spans="10:45" ht="12.75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</row>
    <row r="169" spans="10:45" ht="12.7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</row>
    <row r="170" spans="10:45" ht="12.75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</row>
    <row r="171" spans="10:45" ht="12.75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</row>
    <row r="172" spans="10:45" ht="12.75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</row>
    <row r="173" spans="10:45" ht="12.75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</row>
    <row r="174" spans="10:45" ht="12.75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</row>
    <row r="175" spans="10:45" ht="12.75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</row>
    <row r="176" spans="10:45" ht="12.75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</row>
    <row r="177" spans="10:45" ht="12.75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</row>
    <row r="178" spans="10:45" ht="12.75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</row>
    <row r="179" spans="10:45" ht="12.75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</row>
    <row r="180" spans="10:45" ht="12.75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</row>
    <row r="181" spans="10:45" ht="12.75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</row>
    <row r="182" spans="10:45" ht="12.75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</row>
    <row r="183" spans="10:45" ht="12.75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</row>
    <row r="184" spans="10:45" ht="12.75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</row>
    <row r="185" spans="10:45" ht="12.75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</row>
    <row r="186" spans="10:45" ht="12.75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</row>
    <row r="187" spans="10:45" ht="12.75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</row>
    <row r="188" spans="10:45" ht="12.75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</row>
    <row r="189" spans="10:45" ht="12.75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</row>
    <row r="190" spans="10:45" ht="12.75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</row>
    <row r="191" spans="10:45" ht="12.75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</row>
    <row r="192" spans="10:45" ht="12.75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</row>
    <row r="193" spans="10:45" ht="12.75"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</row>
    <row r="194" spans="10:45" ht="12.75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</row>
    <row r="195" spans="10:45" ht="12.75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M238"/>
  <sheetViews>
    <sheetView zoomScale="75" zoomScaleNormal="75" workbookViewId="0" topLeftCell="A1">
      <pane xSplit="2" ySplit="19" topLeftCell="C104" activePane="bottomRight" state="frozen"/>
      <selection pane="topLeft" activeCell="A1" sqref="A1"/>
      <selection pane="topRight" activeCell="C1" sqref="C1"/>
      <selection pane="bottomLeft" activeCell="A104" sqref="A104"/>
      <selection pane="bottomRight" activeCell="B13" sqref="B13"/>
    </sheetView>
  </sheetViews>
  <sheetFormatPr defaultColWidth="9.140625" defaultRowHeight="12.75"/>
  <cols>
    <col min="1" max="1" width="20.00390625" style="0" customWidth="1"/>
    <col min="2" max="2" width="11.140625" style="0" customWidth="1"/>
    <col min="3" max="3" width="20.28125" style="0" customWidth="1"/>
    <col min="4" max="5" width="16.140625" style="0" customWidth="1"/>
    <col min="6" max="6" width="21.140625" style="0" customWidth="1"/>
    <col min="7" max="7" width="7.140625" style="0" customWidth="1"/>
    <col min="8" max="8" width="10.140625" style="0" customWidth="1"/>
    <col min="9" max="9" width="14.8515625" style="0" customWidth="1"/>
    <col min="11" max="11" width="10.140625" style="2" customWidth="1"/>
    <col min="12" max="13" width="14.8515625" style="0" customWidth="1"/>
    <col min="14" max="14" width="18.7109375" style="0" customWidth="1"/>
    <col min="15" max="15" width="14.8515625" style="3" customWidth="1"/>
    <col min="16" max="16" width="20.00390625" style="0" customWidth="1"/>
    <col min="17" max="17" width="10.140625" style="0" customWidth="1"/>
    <col min="18" max="18" width="14.8515625" style="3" customWidth="1"/>
    <col min="19" max="19" width="11.57421875" style="5" customWidth="1"/>
    <col min="20" max="20" width="20.00390625" style="5" customWidth="1"/>
    <col min="21" max="21" width="19.7109375" style="0" customWidth="1"/>
    <col min="22" max="22" width="16.8515625" style="0" customWidth="1"/>
  </cols>
  <sheetData>
    <row r="1" spans="1:20" ht="12.75">
      <c r="A1" s="6" t="s">
        <v>16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.75">
      <c r="A2" s="7" t="s">
        <v>17</v>
      </c>
      <c r="B2" t="s">
        <v>18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7" t="s">
        <v>19</v>
      </c>
      <c r="B3">
        <v>0.03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t="s">
        <v>20</v>
      </c>
      <c r="B4">
        <v>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8:20" ht="12.75"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t="s">
        <v>21</v>
      </c>
      <c r="B6" t="s">
        <v>22</v>
      </c>
      <c r="C6" t="s">
        <v>23</v>
      </c>
      <c r="D6" t="s">
        <v>25</v>
      </c>
      <c r="E6" t="s">
        <v>26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4" t="s">
        <v>27</v>
      </c>
      <c r="B7">
        <v>0</v>
      </c>
      <c r="C7">
        <v>0.775</v>
      </c>
      <c r="D7">
        <v>0.024</v>
      </c>
      <c r="E7">
        <v>0.024</v>
      </c>
      <c r="F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.75">
      <c r="A8" s="4" t="s">
        <v>28</v>
      </c>
      <c r="B8">
        <v>0.2</v>
      </c>
      <c r="C8">
        <v>0.775</v>
      </c>
      <c r="D8">
        <v>0.024</v>
      </c>
      <c r="E8">
        <v>0.024</v>
      </c>
      <c r="F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t="s">
        <v>29</v>
      </c>
      <c r="B9">
        <v>0</v>
      </c>
      <c r="C9">
        <v>0.775</v>
      </c>
      <c r="D9">
        <v>0.024</v>
      </c>
      <c r="E9">
        <v>0.024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8:20" ht="12.75"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2.75">
      <c r="A11" t="s">
        <v>30</v>
      </c>
      <c r="D11" s="12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>
      <c r="A12" t="s">
        <v>31</v>
      </c>
      <c r="B12">
        <v>0.121</v>
      </c>
      <c r="D12" s="4"/>
      <c r="E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>
      <c r="A13" t="s">
        <v>32</v>
      </c>
      <c r="B13">
        <v>0.1045</v>
      </c>
      <c r="D13" s="4"/>
      <c r="E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>
      <c r="A14" t="s">
        <v>4</v>
      </c>
      <c r="B14" s="1">
        <f>SUM(B12:B13)</f>
        <v>0.22549999999999998</v>
      </c>
      <c r="D14" s="4"/>
      <c r="E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4:20" ht="12.75">
      <c r="D15" s="4"/>
      <c r="E15" s="8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4:20" ht="12.75">
      <c r="D16" s="4"/>
      <c r="E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4:20" ht="12.75">
      <c r="D17" s="4"/>
      <c r="E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4:20" ht="12.75">
      <c r="D18" s="4"/>
      <c r="E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4:20" ht="12.75">
      <c r="D19" s="4"/>
      <c r="E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6" t="s">
        <v>7</v>
      </c>
      <c r="H20" s="2"/>
      <c r="J20" s="3"/>
      <c r="K20"/>
      <c r="M20" s="3"/>
      <c r="N20" s="4"/>
      <c r="P20" s="5"/>
      <c r="Q20" s="5"/>
      <c r="R20"/>
      <c r="S20"/>
      <c r="T20"/>
    </row>
    <row r="21" spans="1:20" ht="12.75">
      <c r="A21" s="13" t="s">
        <v>52</v>
      </c>
      <c r="B21" t="s">
        <v>21</v>
      </c>
      <c r="C21" t="s">
        <v>33</v>
      </c>
      <c r="D21" t="s">
        <v>34</v>
      </c>
      <c r="E21" t="s">
        <v>22</v>
      </c>
      <c r="F21" t="s">
        <v>23</v>
      </c>
      <c r="G21" t="s">
        <v>35</v>
      </c>
      <c r="H21" s="2" t="s">
        <v>39</v>
      </c>
      <c r="I21" t="s">
        <v>40</v>
      </c>
      <c r="J21" s="3" t="s">
        <v>41</v>
      </c>
      <c r="K21" t="s">
        <v>42</v>
      </c>
      <c r="L21" t="s">
        <v>43</v>
      </c>
      <c r="M21" s="3" t="s">
        <v>44</v>
      </c>
      <c r="N21" s="9" t="s">
        <v>45</v>
      </c>
      <c r="O21" s="3" t="s">
        <v>47</v>
      </c>
      <c r="P21" s="11" t="s">
        <v>48</v>
      </c>
      <c r="Q21" s="11" t="s">
        <v>49</v>
      </c>
      <c r="R21" s="9" t="s">
        <v>50</v>
      </c>
      <c r="S21"/>
      <c r="T21"/>
    </row>
    <row r="22" spans="2:20" ht="12.75">
      <c r="B22" s="4" t="s">
        <v>27</v>
      </c>
      <c r="C22">
        <v>55259.657716091126</v>
      </c>
      <c r="D22" s="1">
        <f>'life.exp'!E4</f>
        <v>62.79666666666666</v>
      </c>
      <c r="E22" s="1">
        <f>$B$7</f>
        <v>0</v>
      </c>
      <c r="F22" s="1">
        <f>$C$7</f>
        <v>0.775</v>
      </c>
      <c r="G22" s="1">
        <f>E22*F22</f>
        <v>0</v>
      </c>
      <c r="H22" s="2">
        <f>AVERAGE(H35,H61,H74,H87,H100)</f>
        <v>0</v>
      </c>
      <c r="I22" s="1">
        <f>H22*G22</f>
        <v>0</v>
      </c>
      <c r="J22" s="3">
        <f>I22*$D$7/$B$3*(1-EXP(-$B$3*$B$4))</f>
        <v>0</v>
      </c>
      <c r="K22" s="2">
        <f>AVERAGE(K35,K61,K74,K87,K100)</f>
        <v>0</v>
      </c>
      <c r="L22" s="1">
        <f>G22*K22</f>
        <v>0</v>
      </c>
      <c r="M22" s="3">
        <f>L22*$E$7/$B$3*(1-EXP(-$B$3*duration1))</f>
        <v>0</v>
      </c>
      <c r="N22" s="2">
        <f>AVERAGE(N35,N61,N74,N87,N100)</f>
        <v>0</v>
      </c>
      <c r="O22" s="3">
        <f>N22*G22*(1/$B$3)*(1-EXP(-$B$3*$B$4))</f>
        <v>0</v>
      </c>
      <c r="P22" s="5">
        <f>M22+J22+O22</f>
        <v>0</v>
      </c>
      <c r="Q22" s="5">
        <f>E22*C22*$B$14/$B$3*(1-EXP(-$B$3*$B$4))</f>
        <v>0</v>
      </c>
      <c r="R22" s="1" t="e">
        <f>Q22/P22</f>
        <v>#DIV/0!</v>
      </c>
      <c r="S22"/>
      <c r="T22"/>
    </row>
    <row r="23" spans="2:20" ht="12.75">
      <c r="B23" s="4" t="s">
        <v>28</v>
      </c>
      <c r="C23">
        <v>107924.09003890178</v>
      </c>
      <c r="D23" s="1">
        <f>'life.exp'!E5</f>
        <v>57.77333333333333</v>
      </c>
      <c r="E23" s="1">
        <f>$B$8</f>
        <v>0.2</v>
      </c>
      <c r="F23" s="1">
        <f>$C$8</f>
        <v>0.775</v>
      </c>
      <c r="G23" s="1">
        <f>E23*F23</f>
        <v>0.15500000000000003</v>
      </c>
      <c r="H23" s="2">
        <f>AVERAGE(H36,H62,H75,H88,H101)</f>
        <v>10318</v>
      </c>
      <c r="I23" s="1">
        <f>H23*G23</f>
        <v>1599.2900000000002</v>
      </c>
      <c r="J23" s="3">
        <f>I23*$D$8/$B$3*(1-EXP(-$B$3*$B$4))</f>
        <v>178.21467230653548</v>
      </c>
      <c r="K23" s="2">
        <f>AVERAGE(K36,K62,K75,K88,K101)</f>
        <v>692</v>
      </c>
      <c r="L23" s="1">
        <f>G23*K23</f>
        <v>107.26000000000002</v>
      </c>
      <c r="M23" s="3">
        <f>L23*$E$7/$B$3*(1-EXP(-$B$3*duration1))</f>
        <v>11.952369958918643</v>
      </c>
      <c r="N23" s="2">
        <f>AVERAGE(N36,N62,N75,N88,N101)</f>
        <v>0</v>
      </c>
      <c r="O23" s="3">
        <f>N23*G23*(1/$B$3)*(1-EXP(-$B$3*$B$4))</f>
        <v>0</v>
      </c>
      <c r="P23" s="5">
        <f>M23+J23+O23</f>
        <v>190.1670422654541</v>
      </c>
      <c r="Q23" s="5">
        <f>E23*C23*$B$14/$B$3*(1-EXP(-$B$3*$B$4))</f>
        <v>22599.557223984346</v>
      </c>
      <c r="R23" s="1">
        <f>Q23/P23</f>
        <v>118.84055699008891</v>
      </c>
      <c r="S23"/>
      <c r="T23"/>
    </row>
    <row r="24" spans="2:20" ht="12.75">
      <c r="B24" t="s">
        <v>29</v>
      </c>
      <c r="C24">
        <v>341888.20702903</v>
      </c>
      <c r="D24" s="1">
        <f>'life.exp'!E6</f>
        <v>34.106922237027064</v>
      </c>
      <c r="E24" s="1">
        <f>$B$9</f>
        <v>0</v>
      </c>
      <c r="F24" s="1">
        <f>$C$9</f>
        <v>0.775</v>
      </c>
      <c r="G24" s="1">
        <f>E24*F24</f>
        <v>0</v>
      </c>
      <c r="H24" s="2">
        <f>AVERAGE(H37,H63,H76,H89,H102)</f>
        <v>156480</v>
      </c>
      <c r="I24" s="1">
        <f>H24*G24</f>
        <v>0</v>
      </c>
      <c r="J24" s="3">
        <f>I24*$D$9/$B$3*(1-EXP(-$B$3*$B$4))</f>
        <v>0</v>
      </c>
      <c r="K24" s="2">
        <f>AVERAGE(K37,K63,K76,K89,K102)</f>
        <v>46110</v>
      </c>
      <c r="L24" s="1">
        <f>G24*K24</f>
        <v>0</v>
      </c>
      <c r="M24" s="3">
        <f>L24*$E$7/$B$3*(1-EXP(-$B$3*duration1))</f>
        <v>0</v>
      </c>
      <c r="N24" s="2">
        <f>AVERAGE(N37,N63,N76,N89,N102)</f>
        <v>73</v>
      </c>
      <c r="O24" s="3">
        <f>N24*G24*(1/$B$3)*(1-EXP(-$B$3*$B$4))</f>
        <v>0</v>
      </c>
      <c r="P24" s="5">
        <f>M24+J24+O24</f>
        <v>0</v>
      </c>
      <c r="Q24" s="5">
        <f>E24*C24*$B$14/$B$3*(1-EXP(-$B$3*$B$4))</f>
        <v>0</v>
      </c>
      <c r="R24" s="1" t="e">
        <f>Q24/P24</f>
        <v>#DIV/0!</v>
      </c>
      <c r="S24"/>
      <c r="T24"/>
    </row>
    <row r="25" spans="2:20" ht="12.75">
      <c r="B25" t="s">
        <v>4</v>
      </c>
      <c r="C25" s="1">
        <f>SUM(C22:C24)</f>
        <v>505071.95478402294</v>
      </c>
      <c r="H25" s="2"/>
      <c r="I25" s="4">
        <f>SUM(I22:I24)</f>
        <v>1599.2900000000002</v>
      </c>
      <c r="J25" s="3">
        <f>SUM(J22:J24)</f>
        <v>178.21467230653548</v>
      </c>
      <c r="K25" s="4"/>
      <c r="L25" s="4">
        <f>SUM(L22:L24)</f>
        <v>107.26000000000002</v>
      </c>
      <c r="M25" s="3">
        <f>SUM(M22:M24)</f>
        <v>11.952369958918643</v>
      </c>
      <c r="N25" s="4"/>
      <c r="P25" s="5">
        <f>SUM(P22:P24)</f>
        <v>190.1670422654541</v>
      </c>
      <c r="Q25" s="5">
        <f>SUM(Q22:Q24)</f>
        <v>22599.557223984346</v>
      </c>
      <c r="R25" s="1">
        <f>Q25/P25</f>
        <v>118.84055699008891</v>
      </c>
      <c r="S25"/>
      <c r="T25"/>
    </row>
    <row r="26" spans="8:20" ht="12.75">
      <c r="H26" s="2"/>
      <c r="I26" s="4"/>
      <c r="J26" s="3"/>
      <c r="K26" s="8"/>
      <c r="L26" s="8"/>
      <c r="M26" s="3"/>
      <c r="N26" s="4"/>
      <c r="P26" s="5"/>
      <c r="Q26" s="5"/>
      <c r="R26"/>
      <c r="S26"/>
      <c r="T26"/>
    </row>
    <row r="27" spans="1:20" ht="12.75">
      <c r="A27" s="13" t="s">
        <v>53</v>
      </c>
      <c r="B27" t="s">
        <v>21</v>
      </c>
      <c r="C27" t="s">
        <v>33</v>
      </c>
      <c r="D27" t="s">
        <v>34</v>
      </c>
      <c r="E27" t="s">
        <v>22</v>
      </c>
      <c r="F27" t="s">
        <v>23</v>
      </c>
      <c r="G27" t="s">
        <v>35</v>
      </c>
      <c r="H27" s="2" t="s">
        <v>39</v>
      </c>
      <c r="I27" t="s">
        <v>40</v>
      </c>
      <c r="J27" s="3" t="s">
        <v>41</v>
      </c>
      <c r="K27" t="s">
        <v>42</v>
      </c>
      <c r="L27" t="s">
        <v>43</v>
      </c>
      <c r="M27" s="3" t="s">
        <v>44</v>
      </c>
      <c r="N27" s="9" t="s">
        <v>45</v>
      </c>
      <c r="O27" s="3" t="s">
        <v>47</v>
      </c>
      <c r="P27" s="11" t="s">
        <v>48</v>
      </c>
      <c r="Q27" s="11" t="s">
        <v>49</v>
      </c>
      <c r="R27" s="9" t="s">
        <v>50</v>
      </c>
      <c r="S27"/>
      <c r="T27"/>
    </row>
    <row r="28" spans="2:20" ht="12.75">
      <c r="B28" s="4" t="s">
        <v>27</v>
      </c>
      <c r="C28">
        <v>52450.229276826496</v>
      </c>
      <c r="D28" s="1">
        <f>'life.exp'!E16</f>
        <v>65.87333333333333</v>
      </c>
      <c r="E28" s="1">
        <f>$B$7</f>
        <v>0</v>
      </c>
      <c r="F28" s="1">
        <f>$C$7</f>
        <v>0.775</v>
      </c>
      <c r="G28" s="1">
        <f>E28*F28</f>
        <v>0</v>
      </c>
      <c r="H28" s="2">
        <f>AVERAGE(H41,H67,H80,H93,H106)</f>
        <v>0</v>
      </c>
      <c r="I28" s="1">
        <f>H28*G28</f>
        <v>0</v>
      </c>
      <c r="J28" s="3">
        <f>I28*$D$7/$B$3*(1-EXP(-$B$3*$B$4))</f>
        <v>0</v>
      </c>
      <c r="K28" s="2">
        <f>AVERAGE(K41,K67,K80,K93,K106)</f>
        <v>0</v>
      </c>
      <c r="L28" s="1">
        <f>G28*K28</f>
        <v>0</v>
      </c>
      <c r="M28" s="3">
        <f>L28*$E$7/$B$3*(1-EXP(-$B$3*duration1))</f>
        <v>0</v>
      </c>
      <c r="N28" s="2">
        <f>AVERAGE(N41,N67,N80,N93,N106)</f>
        <v>0</v>
      </c>
      <c r="O28" s="3">
        <f>N28*G28*(1/$B$3)*(1-EXP(-$B$3*$B$4))</f>
        <v>0</v>
      </c>
      <c r="P28" s="5">
        <f>M28+J28+O28</f>
        <v>0</v>
      </c>
      <c r="Q28" s="5">
        <f>E28*C28*$B$14/$B$3*(1-EXP(-$B$3*$B$4))</f>
        <v>0</v>
      </c>
      <c r="R28" s="1" t="e">
        <f>Q28/P28</f>
        <v>#DIV/0!</v>
      </c>
      <c r="S28"/>
      <c r="T28"/>
    </row>
    <row r="29" spans="2:20" ht="12.75">
      <c r="B29" s="4" t="s">
        <v>28</v>
      </c>
      <c r="C29">
        <v>102088.74857248932</v>
      </c>
      <c r="D29" s="1">
        <f>'life.exp'!E17</f>
        <v>60.64333333333334</v>
      </c>
      <c r="E29" s="1">
        <f>$B$8</f>
        <v>0.2</v>
      </c>
      <c r="F29" s="1">
        <f>$C$8</f>
        <v>0.775</v>
      </c>
      <c r="G29" s="1">
        <f>E29*F29</f>
        <v>0.15500000000000003</v>
      </c>
      <c r="H29" s="2">
        <f>AVERAGE(H42,H68,H81,H94,H107)</f>
        <v>10318</v>
      </c>
      <c r="I29" s="1">
        <f>H29*G29</f>
        <v>1599.2900000000002</v>
      </c>
      <c r="J29" s="3">
        <f>I29*$D$8/$B$3*(1-EXP(-$B$3*$B$4))</f>
        <v>178.21467230653548</v>
      </c>
      <c r="K29" s="2">
        <f>AVERAGE(K42,K68,K81,K94,K107)</f>
        <v>692</v>
      </c>
      <c r="L29" s="1">
        <f>G29*K29</f>
        <v>107.26000000000002</v>
      </c>
      <c r="M29" s="3">
        <f>L29*$E$7/$B$3*(1-EXP(-$B$3*duration1))</f>
        <v>11.952369958918643</v>
      </c>
      <c r="N29" s="2">
        <f>AVERAGE(N42,N68,N81,N94,N107)</f>
        <v>0</v>
      </c>
      <c r="O29" s="3">
        <f>N29*G29*(1/$B$3)*(1-EXP(-$B$3*$B$4))</f>
        <v>0</v>
      </c>
      <c r="P29" s="5">
        <f>M29+J29+O29</f>
        <v>190.1670422654541</v>
      </c>
      <c r="Q29" s="5">
        <f>E29*C29*$B$14/$B$3*(1-EXP(-$B$3*$B$4))</f>
        <v>21377.62305391961</v>
      </c>
      <c r="R29" s="1">
        <f>Q29/P29</f>
        <v>112.41497369496126</v>
      </c>
      <c r="S29"/>
      <c r="T29"/>
    </row>
    <row r="30" spans="2:20" ht="12.75">
      <c r="B30" t="s">
        <v>29</v>
      </c>
      <c r="C30">
        <v>340389.0673666618</v>
      </c>
      <c r="D30" s="1">
        <f>'life.exp'!E18</f>
        <v>35.83226528334499</v>
      </c>
      <c r="E30" s="1">
        <f>$B$9</f>
        <v>0</v>
      </c>
      <c r="F30" s="1">
        <f>$C$9</f>
        <v>0.775</v>
      </c>
      <c r="G30" s="1">
        <f>E30*F30</f>
        <v>0</v>
      </c>
      <c r="H30" s="2">
        <f>AVERAGE(H43,H69,H82,H95,H108)</f>
        <v>156480</v>
      </c>
      <c r="I30" s="1">
        <f>H30*G30</f>
        <v>0</v>
      </c>
      <c r="J30" s="3">
        <f>I30*$D$9/$B$3*(1-EXP(-$B$3*$B$4))</f>
        <v>0</v>
      </c>
      <c r="K30" s="2">
        <f>AVERAGE(K43,K69,K82,K95,K108)</f>
        <v>46110</v>
      </c>
      <c r="L30" s="1">
        <f>G30*K30</f>
        <v>0</v>
      </c>
      <c r="M30" s="3">
        <f>L30*$E$7/$B$3*(1-EXP(-$B$3*duration1))</f>
        <v>0</v>
      </c>
      <c r="N30" s="2">
        <f>AVERAGE(N43,N69,N82,N95,N108)</f>
        <v>118</v>
      </c>
      <c r="O30" s="3">
        <f>N30*G30*(1/$B$3)*(1-EXP(-$B$3*$B$4))</f>
        <v>0</v>
      </c>
      <c r="P30" s="5">
        <f>M30+J30+O30</f>
        <v>0</v>
      </c>
      <c r="Q30" s="5">
        <f>E30*C30*$B$14/$B$3*(1-EXP(-$B$3*$B$4))</f>
        <v>0</v>
      </c>
      <c r="R30" s="1" t="e">
        <f>Q30/P30</f>
        <v>#DIV/0!</v>
      </c>
      <c r="S30"/>
      <c r="T30"/>
    </row>
    <row r="31" spans="2:20" ht="12.75">
      <c r="B31" t="s">
        <v>4</v>
      </c>
      <c r="C31" s="1">
        <f>SUM(C28:C30)</f>
        <v>494928.0452159776</v>
      </c>
      <c r="H31" s="2"/>
      <c r="I31" s="4">
        <f>SUM(I28:I30)</f>
        <v>1599.2900000000002</v>
      </c>
      <c r="J31" s="3">
        <f>SUM(J28:J30)</f>
        <v>178.21467230653548</v>
      </c>
      <c r="K31" s="4"/>
      <c r="L31" s="4">
        <f>SUM(L28:L30)</f>
        <v>107.26000000000002</v>
      </c>
      <c r="M31" s="3">
        <f>SUM(M28:M30)</f>
        <v>11.952369958918643</v>
      </c>
      <c r="O31"/>
      <c r="P31" s="5">
        <f>SUM(P28:P30)</f>
        <v>190.1670422654541</v>
      </c>
      <c r="Q31" s="5">
        <f>SUM(Q28:Q30)</f>
        <v>21377.62305391961</v>
      </c>
      <c r="R31" s="1">
        <f>Q31/P31</f>
        <v>112.41497369496126</v>
      </c>
      <c r="S31"/>
      <c r="T31"/>
    </row>
    <row r="32" spans="8:20" ht="12.75">
      <c r="H32" s="2"/>
      <c r="I32" s="4"/>
      <c r="J32" s="3"/>
      <c r="K32" s="8"/>
      <c r="L32" s="8"/>
      <c r="M32" s="3"/>
      <c r="N32" s="4"/>
      <c r="P32" s="5">
        <f>SUM(P25+P31)</f>
        <v>380.3340845309082</v>
      </c>
      <c r="Q32" s="5">
        <f>SUM(Q25+Q31)</f>
        <v>43977.18027790396</v>
      </c>
      <c r="R32" s="1">
        <f>(SUM(Q25+Q31))/(SUM(P25+P31))</f>
        <v>115.62776534252508</v>
      </c>
      <c r="S32" s="3"/>
      <c r="T32"/>
    </row>
    <row r="33" spans="1:20" ht="12.75">
      <c r="A33" s="6" t="s">
        <v>8</v>
      </c>
      <c r="G33" s="4"/>
      <c r="H33" s="2"/>
      <c r="I33" s="4"/>
      <c r="J33" s="3"/>
      <c r="K33" s="4"/>
      <c r="L33" s="4"/>
      <c r="M33" s="3"/>
      <c r="N33" s="4"/>
      <c r="P33" s="5"/>
      <c r="Q33" s="5"/>
      <c r="R33"/>
      <c r="S33"/>
      <c r="T33"/>
    </row>
    <row r="34" spans="1:20" ht="12.75">
      <c r="A34" s="13" t="s">
        <v>52</v>
      </c>
      <c r="B34" t="s">
        <v>21</v>
      </c>
      <c r="C34" t="s">
        <v>33</v>
      </c>
      <c r="D34" t="s">
        <v>34</v>
      </c>
      <c r="E34" t="s">
        <v>22</v>
      </c>
      <c r="F34" t="s">
        <v>23</v>
      </c>
      <c r="G34" t="s">
        <v>35</v>
      </c>
      <c r="H34" s="2" t="s">
        <v>39</v>
      </c>
      <c r="I34" t="s">
        <v>40</v>
      </c>
      <c r="J34" s="3" t="s">
        <v>41</v>
      </c>
      <c r="K34" t="s">
        <v>42</v>
      </c>
      <c r="L34" t="s">
        <v>43</v>
      </c>
      <c r="M34" s="3" t="s">
        <v>44</v>
      </c>
      <c r="N34" s="9" t="s">
        <v>45</v>
      </c>
      <c r="O34" s="3" t="s">
        <v>47</v>
      </c>
      <c r="P34" s="11" t="s">
        <v>48</v>
      </c>
      <c r="Q34" s="11" t="s">
        <v>49</v>
      </c>
      <c r="R34" s="9" t="s">
        <v>50</v>
      </c>
      <c r="S34"/>
      <c r="T34"/>
    </row>
    <row r="35" spans="2:20" ht="12.75">
      <c r="B35" s="4" t="s">
        <v>27</v>
      </c>
      <c r="C35">
        <v>43435.00590196966</v>
      </c>
      <c r="D35" s="1">
        <f>'life.exp'!E29</f>
        <v>67.58</v>
      </c>
      <c r="E35" s="1">
        <f>$B$7</f>
        <v>0</v>
      </c>
      <c r="F35" s="1">
        <f>$C$7</f>
        <v>0.775</v>
      </c>
      <c r="G35" s="1">
        <f>E35*F35</f>
        <v>0</v>
      </c>
      <c r="H35" s="2">
        <v>0</v>
      </c>
      <c r="I35" s="1">
        <f>H35*G35</f>
        <v>0</v>
      </c>
      <c r="J35" s="3">
        <f>I35*$D$7/$B$3*(1-EXP(-$B$3*$B$4))</f>
        <v>0</v>
      </c>
      <c r="K35">
        <v>0</v>
      </c>
      <c r="L35" s="1">
        <f>G35*K35</f>
        <v>0</v>
      </c>
      <c r="M35" s="3">
        <f>L35*$E$7/$B$3*(1-EXP(-$B$3*duration1))</f>
        <v>0</v>
      </c>
      <c r="N35" s="4">
        <v>0</v>
      </c>
      <c r="O35" s="3">
        <f>N35*G35*(1/$B$3)*(1-EXP(-$B$3*$B$4))</f>
        <v>0</v>
      </c>
      <c r="P35" s="5">
        <f>M35+J35+O35</f>
        <v>0</v>
      </c>
      <c r="Q35" s="5">
        <f>E35*C35*$B$14/$B$3*(1-EXP(-$B$3*$B$4))</f>
        <v>0</v>
      </c>
      <c r="R35" s="1" t="e">
        <f>Q35/P35</f>
        <v>#DIV/0!</v>
      </c>
      <c r="S35"/>
      <c r="T35"/>
    </row>
    <row r="36" spans="2:20" ht="12.75">
      <c r="B36" s="4" t="s">
        <v>28</v>
      </c>
      <c r="C36">
        <v>94588.7355226454</v>
      </c>
      <c r="D36" s="1">
        <f>'life.exp'!E30</f>
        <v>61.16</v>
      </c>
      <c r="E36" s="1">
        <f>$B$8</f>
        <v>0.2</v>
      </c>
      <c r="F36" s="1">
        <f>$C$8</f>
        <v>0.775</v>
      </c>
      <c r="G36" s="1">
        <f>E36*F36</f>
        <v>0.15500000000000003</v>
      </c>
      <c r="H36" s="2">
        <v>8990</v>
      </c>
      <c r="I36" s="1">
        <f>H36*G36</f>
        <v>1393.4500000000003</v>
      </c>
      <c r="J36" s="3">
        <f>I36*$D$8/$B$3*(1-EXP(-$B$3*$B$4))</f>
        <v>155.27717620040258</v>
      </c>
      <c r="K36">
        <v>360</v>
      </c>
      <c r="L36" s="1">
        <f>G36*K36</f>
        <v>55.80000000000001</v>
      </c>
      <c r="M36" s="3">
        <f>L36*$E$7/$B$3*(1-EXP(-$B$3*duration1))</f>
        <v>6.2179959323854215</v>
      </c>
      <c r="N36" s="4">
        <v>0</v>
      </c>
      <c r="O36" s="3">
        <f>N36*G36*(1/$B$3)*(1-EXP(-$B$3*$B$4))</f>
        <v>0</v>
      </c>
      <c r="P36" s="5">
        <f>M36+J36+O36</f>
        <v>161.495172132788</v>
      </c>
      <c r="Q36" s="5">
        <f>E36*C36*$B$14/$B$3*(1-EXP(-$B$3*$B$4))</f>
        <v>19807.102755444255</v>
      </c>
      <c r="R36" s="1">
        <f>Q36/P36</f>
        <v>122.64826554169703</v>
      </c>
      <c r="S36"/>
      <c r="T36"/>
    </row>
    <row r="37" spans="2:20" ht="12.75">
      <c r="B37" t="s">
        <v>29</v>
      </c>
      <c r="C37">
        <v>371487.66671478824</v>
      </c>
      <c r="D37" s="1">
        <f>'life.exp'!E31</f>
        <v>35.07010836257669</v>
      </c>
      <c r="E37" s="1">
        <f>$B$9</f>
        <v>0</v>
      </c>
      <c r="F37" s="1">
        <f>$C$9</f>
        <v>0.775</v>
      </c>
      <c r="G37" s="1">
        <f>E37*F37</f>
        <v>0</v>
      </c>
      <c r="H37" s="2">
        <v>142200</v>
      </c>
      <c r="I37" s="1">
        <f>H37*G37</f>
        <v>0</v>
      </c>
      <c r="J37" s="3">
        <f>I37*$D$9/$B$3*(1-EXP(-$B$3*$B$4))</f>
        <v>0</v>
      </c>
      <c r="K37">
        <v>33150</v>
      </c>
      <c r="L37" s="1">
        <f>G37*K37</f>
        <v>0</v>
      </c>
      <c r="M37" s="3">
        <f>L37*$E$7/$B$3*(1-EXP(-$B$3*duration1))</f>
        <v>0</v>
      </c>
      <c r="N37" s="4">
        <v>35</v>
      </c>
      <c r="O37" s="3">
        <f>N37*G37*(1/$B$3)*(1-EXP(-$B$3*$B$4))</f>
        <v>0</v>
      </c>
      <c r="P37" s="5">
        <f>M37+J37+O37</f>
        <v>0</v>
      </c>
      <c r="Q37" s="5">
        <f>E37*C37*$B$14/$B$3*(1-EXP(-$B$3*$B$4))</f>
        <v>0</v>
      </c>
      <c r="R37" s="1" t="e">
        <f>Q37/P37</f>
        <v>#DIV/0!</v>
      </c>
      <c r="S37"/>
      <c r="T37"/>
    </row>
    <row r="38" spans="2:20" ht="12.75">
      <c r="B38" t="s">
        <v>4</v>
      </c>
      <c r="C38" s="1">
        <f>SUM(C35:C37)</f>
        <v>509511.4081394033</v>
      </c>
      <c r="H38" s="2"/>
      <c r="I38" s="4">
        <f>SUM(I35:I37)</f>
        <v>1393.4500000000003</v>
      </c>
      <c r="J38" s="3">
        <f>SUM(J35:J37)</f>
        <v>155.27717620040258</v>
      </c>
      <c r="K38" s="4"/>
      <c r="L38" s="4">
        <f>SUM(L35:L37)</f>
        <v>55.80000000000001</v>
      </c>
      <c r="M38" s="3">
        <f>SUM(M35:M37)</f>
        <v>6.2179959323854215</v>
      </c>
      <c r="O38"/>
      <c r="P38" s="5">
        <f>SUM(P35:P37)</f>
        <v>161.495172132788</v>
      </c>
      <c r="Q38" s="5">
        <f>SUM(Q35:Q37)</f>
        <v>19807.102755444255</v>
      </c>
      <c r="R38" s="1">
        <f>Q38/P38</f>
        <v>122.64826554169703</v>
      </c>
      <c r="S38"/>
      <c r="T38"/>
    </row>
    <row r="39" spans="8:20" ht="12.75">
      <c r="H39" s="2"/>
      <c r="J39" s="3"/>
      <c r="K39" s="12"/>
      <c r="L39" s="12"/>
      <c r="M39" s="3"/>
      <c r="N39" s="4"/>
      <c r="P39" s="5"/>
      <c r="Q39" s="5"/>
      <c r="R39"/>
      <c r="S39"/>
      <c r="T39"/>
    </row>
    <row r="40" spans="1:20" ht="12.75">
      <c r="A40" s="13" t="s">
        <v>53</v>
      </c>
      <c r="B40" t="s">
        <v>21</v>
      </c>
      <c r="C40" t="s">
        <v>33</v>
      </c>
      <c r="D40" t="s">
        <v>34</v>
      </c>
      <c r="E40" t="s">
        <v>22</v>
      </c>
      <c r="F40" t="s">
        <v>23</v>
      </c>
      <c r="G40" t="s">
        <v>35</v>
      </c>
      <c r="H40" s="2" t="s">
        <v>39</v>
      </c>
      <c r="I40" t="s">
        <v>40</v>
      </c>
      <c r="J40" s="3" t="s">
        <v>41</v>
      </c>
      <c r="K40" t="s">
        <v>42</v>
      </c>
      <c r="L40" t="s">
        <v>43</v>
      </c>
      <c r="M40" s="3" t="s">
        <v>44</v>
      </c>
      <c r="N40" s="9" t="s">
        <v>45</v>
      </c>
      <c r="O40" s="3" t="s">
        <v>47</v>
      </c>
      <c r="P40" s="11" t="s">
        <v>48</v>
      </c>
      <c r="Q40" s="11" t="s">
        <v>49</v>
      </c>
      <c r="R40" s="9" t="s">
        <v>50</v>
      </c>
      <c r="S40"/>
      <c r="T40"/>
    </row>
    <row r="41" spans="2:20" ht="12.75">
      <c r="B41" s="4" t="s">
        <v>27</v>
      </c>
      <c r="C41">
        <v>40116.02382136302</v>
      </c>
      <c r="D41" s="1">
        <f>'life.exp'!E41</f>
        <v>70.67</v>
      </c>
      <c r="E41" s="1">
        <f>$B$7</f>
        <v>0</v>
      </c>
      <c r="F41" s="1">
        <f>$C$7</f>
        <v>0.775</v>
      </c>
      <c r="G41" s="1">
        <f>E41*F41</f>
        <v>0</v>
      </c>
      <c r="H41" s="2">
        <v>0</v>
      </c>
      <c r="I41" s="1">
        <f>H41*G41</f>
        <v>0</v>
      </c>
      <c r="J41" s="3">
        <f>I41*$D$7/$B$3*(1-EXP(-$B$3*$B$4))</f>
        <v>0</v>
      </c>
      <c r="K41">
        <v>0</v>
      </c>
      <c r="L41" s="1">
        <f>G41*K41</f>
        <v>0</v>
      </c>
      <c r="M41" s="3">
        <f>L41*$E$7/$B$3*(1-EXP(-$B$3*duration1))</f>
        <v>0</v>
      </c>
      <c r="N41" s="4">
        <v>0</v>
      </c>
      <c r="O41" s="3">
        <f>N41*G41*(1/$B$3)*(1-EXP(-$B$3*$B$4))</f>
        <v>0</v>
      </c>
      <c r="P41" s="5">
        <f>M41+J41+O41</f>
        <v>0</v>
      </c>
      <c r="Q41" s="5">
        <f>E41*C41*$B$14/$B$3*(1-EXP(-$B$3*$B$4))</f>
        <v>0</v>
      </c>
      <c r="R41" s="1" t="e">
        <f>Q41/P41</f>
        <v>#DIV/0!</v>
      </c>
      <c r="S41"/>
      <c r="T41"/>
    </row>
    <row r="42" spans="2:20" ht="12.75">
      <c r="B42" s="4" t="s">
        <v>28</v>
      </c>
      <c r="C42">
        <v>87294.65290480577</v>
      </c>
      <c r="D42" s="1">
        <f>'life.exp'!E42</f>
        <v>63.94</v>
      </c>
      <c r="E42" s="1">
        <f>$B$8</f>
        <v>0.2</v>
      </c>
      <c r="F42" s="1">
        <f>$C$8</f>
        <v>0.775</v>
      </c>
      <c r="G42" s="1">
        <f>E42*F42</f>
        <v>0.15500000000000003</v>
      </c>
      <c r="H42" s="2">
        <v>8990</v>
      </c>
      <c r="I42" s="1">
        <f>H42*G42</f>
        <v>1393.4500000000003</v>
      </c>
      <c r="J42" s="3">
        <f>I42*$D$8/$B$3*(1-EXP(-$B$3*$B$4))</f>
        <v>155.27717620040258</v>
      </c>
      <c r="K42">
        <v>360</v>
      </c>
      <c r="L42" s="1">
        <f>G42*K42</f>
        <v>55.80000000000001</v>
      </c>
      <c r="M42" s="3">
        <f>L42*$E$7/$B$3*(1-EXP(-$B$3*duration1))</f>
        <v>6.2179959323854215</v>
      </c>
      <c r="N42" s="4">
        <v>0</v>
      </c>
      <c r="O42" s="3">
        <f>N42*G42*(1/$B$3)*(1-EXP(-$B$3*$B$4))</f>
        <v>0</v>
      </c>
      <c r="P42" s="5">
        <f>M42+J42+O42</f>
        <v>161.495172132788</v>
      </c>
      <c r="Q42" s="5">
        <f>E42*C42*$B$14/$B$3*(1-EXP(-$B$3*$B$4))</f>
        <v>18279.704771741843</v>
      </c>
      <c r="R42" s="1">
        <f>Q42/P42</f>
        <v>113.19041015487146</v>
      </c>
      <c r="S42"/>
      <c r="T42"/>
    </row>
    <row r="43" spans="2:20" ht="12.75">
      <c r="B43" t="s">
        <v>29</v>
      </c>
      <c r="C43">
        <v>363077.915134428</v>
      </c>
      <c r="D43" s="1">
        <f>'life.exp'!E43</f>
        <v>36.694740182264034</v>
      </c>
      <c r="E43" s="1">
        <f>$B$9</f>
        <v>0</v>
      </c>
      <c r="F43" s="1">
        <f>$C$9</f>
        <v>0.775</v>
      </c>
      <c r="G43" s="1">
        <f>E43*F43</f>
        <v>0</v>
      </c>
      <c r="H43" s="2">
        <v>142200</v>
      </c>
      <c r="I43" s="1">
        <f>H43*G43</f>
        <v>0</v>
      </c>
      <c r="J43" s="3">
        <f>I43*$D$9/$B$3*(1-EXP(-$B$3*$B$4))</f>
        <v>0</v>
      </c>
      <c r="K43">
        <v>33150</v>
      </c>
      <c r="L43" s="1">
        <f>G43*K43</f>
        <v>0</v>
      </c>
      <c r="M43" s="3">
        <f>L43*$E$7/$B$3*(1-EXP(-$B$3*duration1))</f>
        <v>0</v>
      </c>
      <c r="N43" s="4">
        <v>110</v>
      </c>
      <c r="O43" s="3">
        <f>N43*G43*(1/$B$3)*(1-EXP(-$B$3*$B$4))</f>
        <v>0</v>
      </c>
      <c r="P43" s="5">
        <f>M43+J43+O43</f>
        <v>0</v>
      </c>
      <c r="Q43" s="5">
        <f>E43*C43*$B$14/$B$3*(1-EXP(-$B$3*$B$4))</f>
        <v>0</v>
      </c>
      <c r="R43" s="1" t="e">
        <f>Q43/P43</f>
        <v>#DIV/0!</v>
      </c>
      <c r="S43"/>
      <c r="T43"/>
    </row>
    <row r="44" spans="2:20" ht="12.75">
      <c r="B44" t="s">
        <v>4</v>
      </c>
      <c r="C44" s="1">
        <f>SUM(C41:C43)</f>
        <v>490488.5918605968</v>
      </c>
      <c r="H44" s="2"/>
      <c r="I44" s="4">
        <f>SUM(I41:I43)</f>
        <v>1393.4500000000003</v>
      </c>
      <c r="J44" s="3">
        <f>SUM(J41:J43)</f>
        <v>155.27717620040258</v>
      </c>
      <c r="K44" s="4"/>
      <c r="L44" s="4">
        <f>SUM(L41:L43)</f>
        <v>55.80000000000001</v>
      </c>
      <c r="M44" s="3">
        <f>SUM(M41:M43)</f>
        <v>6.2179959323854215</v>
      </c>
      <c r="O44"/>
      <c r="P44" s="5">
        <f>SUM(P41:P43)</f>
        <v>161.495172132788</v>
      </c>
      <c r="Q44" s="5">
        <f>SUM(Q41:Q43)</f>
        <v>18279.704771741843</v>
      </c>
      <c r="R44" s="1">
        <f>Q44/P44</f>
        <v>113.19041015487146</v>
      </c>
      <c r="S44"/>
      <c r="T44"/>
    </row>
    <row r="45" spans="2:20" ht="12.75">
      <c r="B45" t="s">
        <v>54</v>
      </c>
      <c r="H45" s="2"/>
      <c r="I45" s="4"/>
      <c r="J45" s="3"/>
      <c r="K45" s="8"/>
      <c r="L45" s="8"/>
      <c r="M45" s="3"/>
      <c r="O45"/>
      <c r="P45" s="5">
        <f>SUM(P38+P44)</f>
        <v>322.990344265576</v>
      </c>
      <c r="Q45" s="5">
        <f>SUM(Q38+Q44)</f>
        <v>38086.8075271861</v>
      </c>
      <c r="R45" s="1">
        <f>(SUM(Q38+Q44))/(SUM(P38+P44))</f>
        <v>117.91933784828426</v>
      </c>
      <c r="S45" s="3"/>
      <c r="T45"/>
    </row>
    <row r="46" spans="1:20" ht="12.75">
      <c r="A46" s="6" t="s">
        <v>51</v>
      </c>
      <c r="F46" s="4"/>
      <c r="G46" s="4"/>
      <c r="H46" s="2"/>
      <c r="J46" s="3"/>
      <c r="K46"/>
      <c r="M46" s="3"/>
      <c r="N46" s="4"/>
      <c r="P46" s="5"/>
      <c r="Q46" s="5"/>
      <c r="R46"/>
      <c r="S46"/>
      <c r="T46"/>
    </row>
    <row r="47" spans="1:20" ht="12.75">
      <c r="A47" s="13" t="s">
        <v>52</v>
      </c>
      <c r="B47" t="s">
        <v>21</v>
      </c>
      <c r="C47" t="s">
        <v>33</v>
      </c>
      <c r="D47" t="s">
        <v>34</v>
      </c>
      <c r="E47" t="s">
        <v>22</v>
      </c>
      <c r="F47" t="s">
        <v>23</v>
      </c>
      <c r="G47" t="s">
        <v>35</v>
      </c>
      <c r="H47" s="2" t="s">
        <v>39</v>
      </c>
      <c r="I47" t="s">
        <v>40</v>
      </c>
      <c r="J47" s="3" t="s">
        <v>41</v>
      </c>
      <c r="K47" t="s">
        <v>42</v>
      </c>
      <c r="L47" t="s">
        <v>43</v>
      </c>
      <c r="M47" s="3" t="s">
        <v>44</v>
      </c>
      <c r="N47" s="9" t="s">
        <v>45</v>
      </c>
      <c r="O47" s="3" t="s">
        <v>47</v>
      </c>
      <c r="P47" s="11" t="s">
        <v>48</v>
      </c>
      <c r="Q47" s="11" t="s">
        <v>49</v>
      </c>
      <c r="R47" s="9" t="s">
        <v>50</v>
      </c>
      <c r="S47"/>
      <c r="T47"/>
    </row>
    <row r="48" spans="2:20" ht="12.75">
      <c r="B48" s="4" t="s">
        <v>27</v>
      </c>
      <c r="C48">
        <v>31609.26143451611</v>
      </c>
      <c r="D48" s="1">
        <f>'life.exp'!E54</f>
        <v>62.843333333333334</v>
      </c>
      <c r="E48" s="1">
        <f>$B$7</f>
        <v>0</v>
      </c>
      <c r="F48" s="1">
        <f>$C$7</f>
        <v>0.775</v>
      </c>
      <c r="G48" s="1">
        <f>E48*F48</f>
        <v>0</v>
      </c>
      <c r="H48" s="2">
        <f>AVERAGE(H35,H61,H74,H87,H100)</f>
        <v>0</v>
      </c>
      <c r="I48" s="1">
        <f>H48*G48</f>
        <v>0</v>
      </c>
      <c r="J48" s="3">
        <f>I48*$D$7/$B$3*(1-EXP(-$B$3*$B$4))</f>
        <v>0</v>
      </c>
      <c r="K48" s="2">
        <f>AVERAGE(K35,K61,K74,K87,K100)</f>
        <v>0</v>
      </c>
      <c r="L48" s="1">
        <f>G48*K48</f>
        <v>0</v>
      </c>
      <c r="M48" s="3">
        <f>L48*$E$7/$B$3*(1-EXP(-$B$3*duration1))</f>
        <v>0</v>
      </c>
      <c r="N48" s="2">
        <f>AVERAGE(N35,N61,N74,N87,N100)</f>
        <v>0</v>
      </c>
      <c r="O48" s="3">
        <f>N48*G48*(1/$B$3)*(1-EXP(-$B$3*$B$4))</f>
        <v>0</v>
      </c>
      <c r="P48" s="5">
        <f>M48+J48+O48</f>
        <v>0</v>
      </c>
      <c r="Q48" s="5">
        <f>E48*C48*$B$14/$B$3*(1-EXP(-$B$3*$B$4))</f>
        <v>0</v>
      </c>
      <c r="R48" s="1" t="e">
        <f>Q48/P48</f>
        <v>#DIV/0!</v>
      </c>
      <c r="S48"/>
      <c r="T48"/>
    </row>
    <row r="49" spans="2:20" ht="12.75">
      <c r="B49" s="4" t="s">
        <v>28</v>
      </c>
      <c r="C49">
        <v>79600.38794606019</v>
      </c>
      <c r="D49" s="1">
        <f>'life.exp'!E55</f>
        <v>56.053333333333335</v>
      </c>
      <c r="E49" s="1">
        <f>$B$8</f>
        <v>0.2</v>
      </c>
      <c r="F49" s="1">
        <f>$C$8</f>
        <v>0.775</v>
      </c>
      <c r="G49" s="1">
        <f>E49*F49</f>
        <v>0.15500000000000003</v>
      </c>
      <c r="H49" s="2">
        <f>AVERAGE(H36,H62,H75,H88,H101)</f>
        <v>10318</v>
      </c>
      <c r="I49" s="1">
        <f>H49*G49</f>
        <v>1599.2900000000002</v>
      </c>
      <c r="J49" s="3">
        <f>I49*$D$8/$B$3*(1-EXP(-$B$3*$B$4))</f>
        <v>178.21467230653548</v>
      </c>
      <c r="K49" s="2">
        <f>AVERAGE(K36,K62,K75,K88,K101)</f>
        <v>692</v>
      </c>
      <c r="L49" s="1">
        <f>G49*K49</f>
        <v>107.26000000000002</v>
      </c>
      <c r="M49" s="3">
        <f>L49*$E$7/$B$3*(1-EXP(-$B$3*duration1))</f>
        <v>11.952369958918643</v>
      </c>
      <c r="N49" s="2">
        <f>AVERAGE(N36,N62,N75,N88,N101)</f>
        <v>0</v>
      </c>
      <c r="O49" s="3">
        <f>N49*G49*(1/$B$3)*(1-EXP(-$B$3*$B$4))</f>
        <v>0</v>
      </c>
      <c r="P49" s="5">
        <f>M49+J49+O49</f>
        <v>190.1670422654541</v>
      </c>
      <c r="Q49" s="5">
        <f>E49*C49*$B$14/$B$3*(1-EXP(-$B$3*$B$4))</f>
        <v>16668.5076685836</v>
      </c>
      <c r="R49" s="1">
        <f>Q49/P49</f>
        <v>87.65192680083878</v>
      </c>
      <c r="S49"/>
      <c r="T49"/>
    </row>
    <row r="50" spans="2:20" ht="12.75">
      <c r="B50" t="s">
        <v>29</v>
      </c>
      <c r="C50">
        <v>369993.51170237805</v>
      </c>
      <c r="D50" s="1">
        <f>'life.exp'!E56</f>
        <v>30.323795194683132</v>
      </c>
      <c r="E50" s="1">
        <f>$B$9</f>
        <v>0</v>
      </c>
      <c r="F50" s="1">
        <f>$C$9</f>
        <v>0.775</v>
      </c>
      <c r="G50" s="1">
        <f>E50*F50</f>
        <v>0</v>
      </c>
      <c r="H50" s="2">
        <f>AVERAGE(H37,H63,H76,H89,H102)</f>
        <v>156480</v>
      </c>
      <c r="I50" s="1">
        <f>H50*G50</f>
        <v>0</v>
      </c>
      <c r="J50" s="3">
        <f>I50*$D$9/$B$3*(1-EXP(-$B$3*$B$4))</f>
        <v>0</v>
      </c>
      <c r="K50" s="2">
        <f>AVERAGE(K37,K63,K76,K89,K102)</f>
        <v>46110</v>
      </c>
      <c r="L50" s="1">
        <f>G50*K50</f>
        <v>0</v>
      </c>
      <c r="M50" s="3">
        <f>L50*$E$7/$B$3*(1-EXP(-$B$3*duration1))</f>
        <v>0</v>
      </c>
      <c r="N50" s="2">
        <f>AVERAGE(N37,N63,N76,N89,N102)</f>
        <v>73</v>
      </c>
      <c r="O50" s="3">
        <f>N50*G50*(1/$B$3)*(1-EXP(-$B$3*$B$4))</f>
        <v>0</v>
      </c>
      <c r="P50" s="5">
        <f>M50+J50+O50</f>
        <v>0</v>
      </c>
      <c r="Q50" s="5">
        <f>E50*C50*$B$14/$B$3*(1-EXP(-$B$3*$B$4))</f>
        <v>0</v>
      </c>
      <c r="R50" s="1" t="e">
        <f>Q50/P50</f>
        <v>#DIV/0!</v>
      </c>
      <c r="S50"/>
      <c r="T50"/>
    </row>
    <row r="51" spans="2:20" ht="12.75">
      <c r="B51" t="s">
        <v>4</v>
      </c>
      <c r="C51" s="1">
        <f>SUM(C48:C50)</f>
        <v>481203.1610829543</v>
      </c>
      <c r="H51" s="2"/>
      <c r="I51" s="4">
        <f>SUM(I48:I50)</f>
        <v>1599.2900000000002</v>
      </c>
      <c r="J51" s="3">
        <f>SUM(J48:J50)</f>
        <v>178.21467230653548</v>
      </c>
      <c r="K51" s="4"/>
      <c r="L51" s="4">
        <f>SUM(L48:L50)</f>
        <v>107.26000000000002</v>
      </c>
      <c r="M51" s="3">
        <f>SUM(M48:M50)</f>
        <v>11.952369958918643</v>
      </c>
      <c r="O51"/>
      <c r="P51" s="5">
        <f>SUM(P48:P50)</f>
        <v>190.1670422654541</v>
      </c>
      <c r="Q51" s="5">
        <f>SUM(Q48:Q50)</f>
        <v>16668.5076685836</v>
      </c>
      <c r="R51" s="1">
        <f>Q51/P51</f>
        <v>87.65192680083878</v>
      </c>
      <c r="S51"/>
      <c r="T51"/>
    </row>
    <row r="52" spans="8:20" ht="12.75">
      <c r="H52" s="2"/>
      <c r="J52" s="3"/>
      <c r="K52"/>
      <c r="M52" s="3"/>
      <c r="O52"/>
      <c r="P52" s="5"/>
      <c r="Q52" s="5"/>
      <c r="R52"/>
      <c r="S52"/>
      <c r="T52"/>
    </row>
    <row r="53" spans="1:20" ht="12.75">
      <c r="A53" s="13" t="s">
        <v>53</v>
      </c>
      <c r="B53" t="s">
        <v>21</v>
      </c>
      <c r="C53" t="s">
        <v>33</v>
      </c>
      <c r="D53" t="s">
        <v>34</v>
      </c>
      <c r="E53" t="s">
        <v>22</v>
      </c>
      <c r="F53" t="s">
        <v>23</v>
      </c>
      <c r="G53" t="s">
        <v>35</v>
      </c>
      <c r="H53" s="2" t="s">
        <v>39</v>
      </c>
      <c r="I53" t="s">
        <v>40</v>
      </c>
      <c r="J53" s="3" t="s">
        <v>41</v>
      </c>
      <c r="K53" t="s">
        <v>42</v>
      </c>
      <c r="L53" t="s">
        <v>43</v>
      </c>
      <c r="M53" s="3" t="s">
        <v>44</v>
      </c>
      <c r="N53" s="9" t="s">
        <v>45</v>
      </c>
      <c r="O53" s="3" t="s">
        <v>47</v>
      </c>
      <c r="P53" s="11" t="s">
        <v>48</v>
      </c>
      <c r="Q53" s="11" t="s">
        <v>49</v>
      </c>
      <c r="R53" s="9" t="s">
        <v>50</v>
      </c>
      <c r="S53"/>
      <c r="T53"/>
    </row>
    <row r="54" spans="2:20" ht="12.75">
      <c r="B54" s="4" t="s">
        <v>27</v>
      </c>
      <c r="C54">
        <v>30171.138458802565</v>
      </c>
      <c r="D54" s="1">
        <f>'life.exp'!E66</f>
        <v>71.90333333333332</v>
      </c>
      <c r="E54" s="1">
        <f>$B$7</f>
        <v>0</v>
      </c>
      <c r="F54" s="1">
        <f>$C$7</f>
        <v>0.775</v>
      </c>
      <c r="G54" s="1">
        <f>E54*F54</f>
        <v>0</v>
      </c>
      <c r="H54" s="2">
        <f>AVERAGE(H41,H67,H80,H93,H106)</f>
        <v>0</v>
      </c>
      <c r="I54" s="1">
        <f>H54*G54</f>
        <v>0</v>
      </c>
      <c r="J54" s="3">
        <f>I54*$D$7/$B$3*(1-EXP(-$B$3*$B$4))</f>
        <v>0</v>
      </c>
      <c r="K54" s="2">
        <f>AVERAGE(K41,K67,K80,K93,K106)</f>
        <v>0</v>
      </c>
      <c r="L54" s="1">
        <f>G54*K54</f>
        <v>0</v>
      </c>
      <c r="M54" s="3">
        <f>L54*$E$7/$B$3*(1-EXP(-$B$3*duration1))</f>
        <v>0</v>
      </c>
      <c r="N54" s="2">
        <f>AVERAGE(N41,N67,N80,N93,N106)</f>
        <v>0</v>
      </c>
      <c r="O54" s="3">
        <f>N54*G54*(1/$B$3)*(1-EXP(-$B$3*$B$4))</f>
        <v>0</v>
      </c>
      <c r="P54" s="5">
        <f>M54+J54+O54</f>
        <v>0</v>
      </c>
      <c r="Q54" s="5">
        <f>E54*C54*$B$14/$B$3*(1-EXP(-$B$3*$B$4))</f>
        <v>0</v>
      </c>
      <c r="R54" s="1" t="e">
        <f>Q54/P54</f>
        <v>#DIV/0!</v>
      </c>
      <c r="S54"/>
      <c r="T54"/>
    </row>
    <row r="55" spans="2:20" ht="12.75">
      <c r="B55" s="4" t="s">
        <v>28</v>
      </c>
      <c r="C55">
        <v>76336.75177354651</v>
      </c>
      <c r="D55" s="1">
        <f>'life.exp'!E67</f>
        <v>64.93</v>
      </c>
      <c r="E55" s="1">
        <f>$B$8</f>
        <v>0.2</v>
      </c>
      <c r="F55" s="1">
        <f>$C$8</f>
        <v>0.775</v>
      </c>
      <c r="G55" s="1">
        <f>E55*F55</f>
        <v>0.15500000000000003</v>
      </c>
      <c r="H55" s="2">
        <f>AVERAGE(H42,H68,H81,H94,H107)</f>
        <v>10318</v>
      </c>
      <c r="I55" s="1">
        <f>H55*G55</f>
        <v>1599.2900000000002</v>
      </c>
      <c r="J55" s="3">
        <f>I55*$D$8/$B$3*(1-EXP(-$B$3*$B$4))</f>
        <v>178.21467230653548</v>
      </c>
      <c r="K55" s="2">
        <f>AVERAGE(K42,K68,K81,K94,K107)</f>
        <v>692</v>
      </c>
      <c r="L55" s="1">
        <f>G55*K55</f>
        <v>107.26000000000002</v>
      </c>
      <c r="M55" s="3">
        <f>L55*$E$7/$B$3*(1-EXP(-$B$3*duration1))</f>
        <v>11.952369958918643</v>
      </c>
      <c r="N55" s="2">
        <f>AVERAGE(N42,N68,N81,N94,N107)</f>
        <v>0</v>
      </c>
      <c r="O55" s="3">
        <f>N55*G55*(1/$B$3)*(1-EXP(-$B$3*$B$4))</f>
        <v>0</v>
      </c>
      <c r="P55" s="5">
        <f>M55+J55+O55</f>
        <v>190.1670422654541</v>
      </c>
      <c r="Q55" s="5">
        <f>E55*C55*$B$14/$B$3*(1-EXP(-$B$3*$B$4))</f>
        <v>15985.094610271943</v>
      </c>
      <c r="R55" s="1">
        <f>Q55/P55</f>
        <v>84.0581754853102</v>
      </c>
      <c r="S55"/>
      <c r="T55"/>
    </row>
    <row r="56" spans="2:20" ht="12.75">
      <c r="B56" t="s">
        <v>29</v>
      </c>
      <c r="C56">
        <v>412288.9486846967</v>
      </c>
      <c r="D56" s="1">
        <f>'life.exp'!E68</f>
        <v>33.7527259372555</v>
      </c>
      <c r="E56" s="1">
        <f>$B$9</f>
        <v>0</v>
      </c>
      <c r="F56" s="1">
        <f>$C$9</f>
        <v>0.775</v>
      </c>
      <c r="G56" s="1">
        <f>E56*F56</f>
        <v>0</v>
      </c>
      <c r="H56" s="2">
        <f>AVERAGE(H43,H69,H82,H95,H108)</f>
        <v>156480</v>
      </c>
      <c r="I56" s="1">
        <f>H56*G56</f>
        <v>0</v>
      </c>
      <c r="J56" s="3">
        <f>I56*$D$9/$B$3*(1-EXP(-$B$3*$B$4))</f>
        <v>0</v>
      </c>
      <c r="K56" s="2">
        <f>AVERAGE(K43,K69,K82,K95,K108)</f>
        <v>46110</v>
      </c>
      <c r="L56" s="1">
        <f>G56*K56</f>
        <v>0</v>
      </c>
      <c r="M56" s="3">
        <f>L56*$E$7/$B$3*(1-EXP(-$B$3*duration1))</f>
        <v>0</v>
      </c>
      <c r="N56" s="2">
        <f>AVERAGE(N43,N69,N82,N95,N108)</f>
        <v>118</v>
      </c>
      <c r="O56" s="3">
        <f>N56*G56*(1/$B$3)*(1-EXP(-$B$3*$B$4))</f>
        <v>0</v>
      </c>
      <c r="P56" s="5">
        <f>M56+J56+O56</f>
        <v>0</v>
      </c>
      <c r="Q56" s="5">
        <f>E56*C56*$B$14/$B$3*(1-EXP(-$B$3*$B$4))</f>
        <v>0</v>
      </c>
      <c r="R56" s="1" t="e">
        <f>Q56/P56</f>
        <v>#DIV/0!</v>
      </c>
      <c r="S56"/>
      <c r="T56"/>
    </row>
    <row r="57" spans="2:20" ht="12.75">
      <c r="B57" t="s">
        <v>4</v>
      </c>
      <c r="C57" s="1">
        <f>SUM(C54:C56)</f>
        <v>518796.83891704574</v>
      </c>
      <c r="H57" s="2"/>
      <c r="I57" s="4">
        <f>SUM(I54:I56)</f>
        <v>1599.2900000000002</v>
      </c>
      <c r="J57" s="3">
        <f>SUM(J54:J56)</f>
        <v>178.21467230653548</v>
      </c>
      <c r="K57" s="4"/>
      <c r="L57" s="4">
        <f>SUM(L54:L56)</f>
        <v>107.26000000000002</v>
      </c>
      <c r="M57" s="3">
        <f>SUM(M54:M56)</f>
        <v>11.952369958918643</v>
      </c>
      <c r="O57"/>
      <c r="P57" s="5">
        <f>SUM(P54:P56)</f>
        <v>190.1670422654541</v>
      </c>
      <c r="Q57" s="5">
        <f>SUM(Q54:Q56)</f>
        <v>15985.094610271943</v>
      </c>
      <c r="R57" s="1">
        <f>Q57/P57</f>
        <v>84.0581754853102</v>
      </c>
      <c r="S57"/>
      <c r="T57"/>
    </row>
    <row r="58" spans="2:20" ht="12.75">
      <c r="B58" t="s">
        <v>54</v>
      </c>
      <c r="H58" s="2"/>
      <c r="I58" s="4"/>
      <c r="J58" s="3"/>
      <c r="K58" s="8"/>
      <c r="L58" s="8"/>
      <c r="M58" s="3"/>
      <c r="O58"/>
      <c r="P58" s="5">
        <f>SUM(P51+P57)</f>
        <v>380.3340845309082</v>
      </c>
      <c r="Q58" s="5">
        <f>SUM(Q51+Q57)</f>
        <v>32653.602278855542</v>
      </c>
      <c r="R58" s="1">
        <f>(SUM(Q51+Q57))/(SUM(P51+P57))</f>
        <v>85.85505114307449</v>
      </c>
      <c r="S58" s="3"/>
      <c r="T58"/>
    </row>
    <row r="59" spans="1:20" ht="12.75">
      <c r="A59" s="6" t="s">
        <v>9</v>
      </c>
      <c r="H59" s="2"/>
      <c r="J59" s="3"/>
      <c r="K59"/>
      <c r="M59" s="3"/>
      <c r="O59"/>
      <c r="P59" s="5"/>
      <c r="Q59" s="5"/>
      <c r="R59"/>
      <c r="S59"/>
      <c r="T59"/>
    </row>
    <row r="60" spans="1:20" ht="12.75">
      <c r="A60" s="13" t="s">
        <v>52</v>
      </c>
      <c r="B60" t="s">
        <v>21</v>
      </c>
      <c r="C60" t="s">
        <v>33</v>
      </c>
      <c r="D60" t="s">
        <v>34</v>
      </c>
      <c r="E60" t="s">
        <v>22</v>
      </c>
      <c r="F60" t="s">
        <v>23</v>
      </c>
      <c r="G60" t="s">
        <v>35</v>
      </c>
      <c r="H60" s="2" t="s">
        <v>39</v>
      </c>
      <c r="I60" t="s">
        <v>40</v>
      </c>
      <c r="J60" s="3" t="s">
        <v>41</v>
      </c>
      <c r="K60" t="s">
        <v>42</v>
      </c>
      <c r="L60" t="s">
        <v>43</v>
      </c>
      <c r="M60" s="3" t="s">
        <v>44</v>
      </c>
      <c r="N60" s="9" t="s">
        <v>45</v>
      </c>
      <c r="O60" s="3" t="s">
        <v>47</v>
      </c>
      <c r="P60" s="11" t="s">
        <v>48</v>
      </c>
      <c r="Q60" s="11" t="s">
        <v>49</v>
      </c>
      <c r="R60" s="9" t="s">
        <v>50</v>
      </c>
      <c r="S60"/>
      <c r="T60"/>
    </row>
    <row r="61" spans="2:20" ht="12.75">
      <c r="B61" s="4" t="s">
        <v>27</v>
      </c>
      <c r="C61">
        <v>54094.798573822656</v>
      </c>
      <c r="D61" s="1">
        <f>'life.exp'!E79</f>
        <v>67.08666666666667</v>
      </c>
      <c r="E61" s="1">
        <f>$B$7</f>
        <v>0</v>
      </c>
      <c r="F61" s="1">
        <f>$C$7</f>
        <v>0.775</v>
      </c>
      <c r="G61" s="1">
        <f>E61*F61</f>
        <v>0</v>
      </c>
      <c r="H61" s="2">
        <v>0</v>
      </c>
      <c r="I61" s="1">
        <f>H61*G61</f>
        <v>0</v>
      </c>
      <c r="J61" s="3">
        <f>I61*$D$7/$B$3*(1-EXP(-$B$3*$B$4))</f>
        <v>0</v>
      </c>
      <c r="K61">
        <v>0</v>
      </c>
      <c r="L61" s="1">
        <f>G61*K61</f>
        <v>0</v>
      </c>
      <c r="M61" s="3">
        <f>L61*$E$7/$B$3*(1-EXP(-$B$3*duration1))</f>
        <v>0</v>
      </c>
      <c r="N61" s="4">
        <v>0</v>
      </c>
      <c r="O61" s="3">
        <f>N61*G61*(1/$B$3)*(1-EXP(-$B$3*$B$4))</f>
        <v>0</v>
      </c>
      <c r="P61" s="5">
        <f>M61+J61+O61</f>
        <v>0</v>
      </c>
      <c r="Q61" s="5">
        <f>E61*C61*$B$14/$B$3*(1-EXP(-$B$3*$B$4))</f>
        <v>0</v>
      </c>
      <c r="R61" s="1" t="e">
        <f>Q61/P61</f>
        <v>#DIV/0!</v>
      </c>
      <c r="S61"/>
      <c r="T61"/>
    </row>
    <row r="62" spans="2:20" ht="12.75">
      <c r="B62" s="4" t="s">
        <v>28</v>
      </c>
      <c r="C62">
        <v>106130.58821220337</v>
      </c>
      <c r="D62" s="1">
        <f>'life.exp'!E80</f>
        <v>60.38</v>
      </c>
      <c r="E62" s="1">
        <f>$B$8</f>
        <v>0.2</v>
      </c>
      <c r="F62" s="1">
        <f>$C$8</f>
        <v>0.775</v>
      </c>
      <c r="G62" s="1">
        <f>E62*F62</f>
        <v>0.15500000000000003</v>
      </c>
      <c r="H62" s="2">
        <v>9450</v>
      </c>
      <c r="I62" s="1">
        <f>H62*G62</f>
        <v>1464.7500000000002</v>
      </c>
      <c r="J62" s="3">
        <f>I62*$D$8/$B$3*(1-EXP(-$B$3*$B$4))</f>
        <v>163.2223932251173</v>
      </c>
      <c r="K62">
        <v>300</v>
      </c>
      <c r="L62" s="1">
        <f>G62*K62</f>
        <v>46.50000000000001</v>
      </c>
      <c r="M62" s="3">
        <f>L62*$E$7/$B$3*(1-EXP(-$B$3*duration1))</f>
        <v>5.18166327698785</v>
      </c>
      <c r="N62" s="4">
        <v>0</v>
      </c>
      <c r="O62" s="3">
        <f>N62*G62*(1/$B$3)*(1-EXP(-$B$3*$B$4))</f>
        <v>0</v>
      </c>
      <c r="P62" s="5">
        <f>M62+J62+O62</f>
        <v>168.40405650210513</v>
      </c>
      <c r="Q62" s="5">
        <f>E62*C62*$B$14/$B$3*(1-EXP(-$B$3*$B$4))</f>
        <v>22223.993740899325</v>
      </c>
      <c r="R62" s="1">
        <f>Q62/P62</f>
        <v>131.96828035209182</v>
      </c>
      <c r="S62"/>
      <c r="T62"/>
    </row>
    <row r="63" spans="2:20" ht="12.75">
      <c r="B63" t="s">
        <v>29</v>
      </c>
      <c r="C63">
        <v>334672.4581085331</v>
      </c>
      <c r="D63" s="1">
        <f>'life.exp'!E81</f>
        <v>35.655549435631045</v>
      </c>
      <c r="E63" s="1">
        <f>$B$9</f>
        <v>0</v>
      </c>
      <c r="F63" s="1">
        <f>$C$9</f>
        <v>0.775</v>
      </c>
      <c r="G63" s="1">
        <f>E63*F63</f>
        <v>0</v>
      </c>
      <c r="H63" s="2">
        <v>150900</v>
      </c>
      <c r="I63" s="1">
        <f>H63*G63</f>
        <v>0</v>
      </c>
      <c r="J63" s="3">
        <f>I63*$D$9/$B$3*(1-EXP(-$B$3*$B$4))</f>
        <v>0</v>
      </c>
      <c r="K63">
        <v>32700</v>
      </c>
      <c r="L63" s="1">
        <f>G63*K63</f>
        <v>0</v>
      </c>
      <c r="M63" s="3">
        <f>L63*$E$7/$B$3*(1-EXP(-$B$3*duration1))</f>
        <v>0</v>
      </c>
      <c r="N63" s="4">
        <v>20</v>
      </c>
      <c r="O63" s="3">
        <f>N63*G63*(1/$B$3)*(1-EXP(-$B$3*$B$4))</f>
        <v>0</v>
      </c>
      <c r="P63" s="5">
        <f>M63+J63+O63</f>
        <v>0</v>
      </c>
      <c r="Q63" s="5">
        <f>E63*C63*$B$14/$B$3*(1-EXP(-$B$3*$B$4))</f>
        <v>0</v>
      </c>
      <c r="R63" s="1" t="e">
        <f>Q63/P63</f>
        <v>#DIV/0!</v>
      </c>
      <c r="S63"/>
      <c r="T63"/>
    </row>
    <row r="64" spans="2:20" ht="12.75">
      <c r="B64" t="s">
        <v>4</v>
      </c>
      <c r="C64" s="1">
        <f>SUM(C61:C63)</f>
        <v>494897.8448945591</v>
      </c>
      <c r="H64" s="2"/>
      <c r="I64" s="4">
        <f>SUM(I61:I63)</f>
        <v>1464.7500000000002</v>
      </c>
      <c r="J64" s="3">
        <f>SUM(J61:J63)</f>
        <v>163.2223932251173</v>
      </c>
      <c r="K64" s="4"/>
      <c r="L64" s="4">
        <f>SUM(L61:L63)</f>
        <v>46.50000000000001</v>
      </c>
      <c r="M64" s="3">
        <f>SUM(M61:M63)</f>
        <v>5.18166327698785</v>
      </c>
      <c r="O64"/>
      <c r="P64" s="5">
        <f>SUM(P61:P63)</f>
        <v>168.40405650210513</v>
      </c>
      <c r="Q64" s="5">
        <f>SUM(Q61:Q63)</f>
        <v>22223.993740899325</v>
      </c>
      <c r="R64" s="1">
        <f>Q64/P64</f>
        <v>131.96828035209182</v>
      </c>
      <c r="S64"/>
      <c r="T64"/>
    </row>
    <row r="65" spans="8:20" ht="12.75">
      <c r="H65" s="2"/>
      <c r="J65" s="3"/>
      <c r="K65"/>
      <c r="M65" s="3"/>
      <c r="O65"/>
      <c r="P65" s="5"/>
      <c r="Q65" s="5"/>
      <c r="R65"/>
      <c r="S65"/>
      <c r="T65"/>
    </row>
    <row r="66" spans="1:20" ht="12.75">
      <c r="A66" s="13" t="s">
        <v>53</v>
      </c>
      <c r="B66" t="s">
        <v>21</v>
      </c>
      <c r="C66" t="s">
        <v>33</v>
      </c>
      <c r="D66" t="s">
        <v>34</v>
      </c>
      <c r="E66" t="s">
        <v>22</v>
      </c>
      <c r="F66" t="s">
        <v>23</v>
      </c>
      <c r="G66" t="s">
        <v>35</v>
      </c>
      <c r="H66" s="2" t="s">
        <v>39</v>
      </c>
      <c r="I66" t="s">
        <v>40</v>
      </c>
      <c r="J66" s="3" t="s">
        <v>41</v>
      </c>
      <c r="K66" t="s">
        <v>42</v>
      </c>
      <c r="L66" t="s">
        <v>43</v>
      </c>
      <c r="M66" s="3" t="s">
        <v>44</v>
      </c>
      <c r="N66" s="9" t="s">
        <v>45</v>
      </c>
      <c r="O66" s="3" t="s">
        <v>47</v>
      </c>
      <c r="P66" s="11" t="s">
        <v>48</v>
      </c>
      <c r="Q66" s="11" t="s">
        <v>49</v>
      </c>
      <c r="R66" s="9" t="s">
        <v>50</v>
      </c>
      <c r="S66"/>
      <c r="T66"/>
    </row>
    <row r="67" spans="2:20" ht="12.75">
      <c r="B67" s="4" t="s">
        <v>27</v>
      </c>
      <c r="C67">
        <v>52015.30472578045</v>
      </c>
      <c r="D67" s="1">
        <f>'life.exp'!E91</f>
        <v>73.35333333333334</v>
      </c>
      <c r="E67" s="1">
        <f>$B$7</f>
        <v>0</v>
      </c>
      <c r="F67" s="1">
        <f>$C$7</f>
        <v>0.775</v>
      </c>
      <c r="G67" s="1">
        <f>E67*F67</f>
        <v>0</v>
      </c>
      <c r="H67" s="2">
        <v>0</v>
      </c>
      <c r="I67" s="1">
        <f>H67*G67</f>
        <v>0</v>
      </c>
      <c r="J67" s="3">
        <f>I67*$D$7/$B$3*(1-EXP(-$B$3*$B$4))</f>
        <v>0</v>
      </c>
      <c r="K67">
        <v>0</v>
      </c>
      <c r="L67" s="1">
        <f>G67*K67</f>
        <v>0</v>
      </c>
      <c r="M67" s="3">
        <f>L67*$E$7/$B$3*(1-EXP(-$B$3*duration1))</f>
        <v>0</v>
      </c>
      <c r="N67" s="4">
        <v>0</v>
      </c>
      <c r="O67" s="3">
        <f>N67*G67*(1/$B$3)*(1-EXP(-$B$3*$B$4))</f>
        <v>0</v>
      </c>
      <c r="P67" s="5">
        <f>M67+J67+O67</f>
        <v>0</v>
      </c>
      <c r="Q67" s="5">
        <f>E67*C67*$B$14/$B$3*(1-EXP(-$B$3*$B$4))</f>
        <v>0</v>
      </c>
      <c r="R67" s="1" t="e">
        <f>Q67/P67</f>
        <v>#DIV/0!</v>
      </c>
      <c r="S67"/>
      <c r="T67"/>
    </row>
    <row r="68" spans="2:20" ht="12.75">
      <c r="B68" s="4" t="s">
        <v>28</v>
      </c>
      <c r="C68">
        <v>102400.26571292503</v>
      </c>
      <c r="D68" s="1">
        <f>'life.exp'!E92</f>
        <v>66.4</v>
      </c>
      <c r="E68" s="1">
        <f>$B$8</f>
        <v>0.2</v>
      </c>
      <c r="F68" s="1">
        <f>$C$8</f>
        <v>0.775</v>
      </c>
      <c r="G68" s="1">
        <f>E68*F68</f>
        <v>0.15500000000000003</v>
      </c>
      <c r="H68" s="2">
        <v>9450</v>
      </c>
      <c r="I68" s="1">
        <f>H68*G68</f>
        <v>1464.7500000000002</v>
      </c>
      <c r="J68" s="3">
        <f>I68*$D$8/$B$3*(1-EXP(-$B$3*$B$4))</f>
        <v>163.2223932251173</v>
      </c>
      <c r="K68">
        <v>300</v>
      </c>
      <c r="L68" s="1">
        <f>G68*K68</f>
        <v>46.50000000000001</v>
      </c>
      <c r="M68" s="3">
        <f>L68*$E$7/$B$3*(1-EXP(-$B$3*duration1))</f>
        <v>5.18166327698785</v>
      </c>
      <c r="N68" s="4">
        <v>0</v>
      </c>
      <c r="O68" s="3">
        <f>N68*G68*(1/$B$3)*(1-EXP(-$B$3*$B$4))</f>
        <v>0</v>
      </c>
      <c r="P68" s="5">
        <f>M68+J68+O68</f>
        <v>168.40405650210513</v>
      </c>
      <c r="Q68" s="5">
        <f>E68*C68*$B$14/$B$3*(1-EXP(-$B$3*$B$4))</f>
        <v>21442.85547273353</v>
      </c>
      <c r="R68" s="1">
        <f>Q68/P68</f>
        <v>127.32980379522795</v>
      </c>
      <c r="S68"/>
      <c r="T68"/>
    </row>
    <row r="69" spans="2:20" ht="12.75">
      <c r="B69" t="s">
        <v>29</v>
      </c>
      <c r="C69">
        <v>350686.5846667356</v>
      </c>
      <c r="D69" s="1">
        <f>'life.exp'!E93</f>
        <v>39.86412508064301</v>
      </c>
      <c r="E69" s="1">
        <f>$B$9</f>
        <v>0</v>
      </c>
      <c r="F69" s="1">
        <f>$C$9</f>
        <v>0.775</v>
      </c>
      <c r="G69" s="1">
        <f>E69*F69</f>
        <v>0</v>
      </c>
      <c r="H69" s="2">
        <v>150900</v>
      </c>
      <c r="I69" s="1">
        <f>H69*G69</f>
        <v>0</v>
      </c>
      <c r="J69" s="3">
        <f>I69*$D$9/$B$3*(1-EXP(-$B$3*$B$4))</f>
        <v>0</v>
      </c>
      <c r="K69">
        <v>32700</v>
      </c>
      <c r="L69" s="1">
        <f>G69*K69</f>
        <v>0</v>
      </c>
      <c r="M69" s="3">
        <f>L69*$E$7/$B$3*(1-EXP(-$B$3*duration1))</f>
        <v>0</v>
      </c>
      <c r="N69" s="4">
        <v>40</v>
      </c>
      <c r="O69" s="3">
        <f>N69*G69*(1/$B$3)*(1-EXP(-$B$3*$B$4))</f>
        <v>0</v>
      </c>
      <c r="P69" s="5">
        <f>M69+J69+O69</f>
        <v>0</v>
      </c>
      <c r="Q69" s="5">
        <f>E69*C69*$B$14/$B$3*(1-EXP(-$B$3*$B$4))</f>
        <v>0</v>
      </c>
      <c r="R69" s="1" t="e">
        <f>Q69/P69</f>
        <v>#DIV/0!</v>
      </c>
      <c r="S69"/>
      <c r="T69"/>
    </row>
    <row r="70" spans="2:20" ht="12.75">
      <c r="B70" t="s">
        <v>4</v>
      </c>
      <c r="C70" s="1">
        <f>SUM(C67:C69)</f>
        <v>505102.15510544105</v>
      </c>
      <c r="H70" s="2"/>
      <c r="I70" s="4">
        <f>SUM(I67:I69)</f>
        <v>1464.7500000000002</v>
      </c>
      <c r="J70" s="3">
        <f>SUM(J67:J69)</f>
        <v>163.2223932251173</v>
      </c>
      <c r="K70" s="4"/>
      <c r="L70" s="4">
        <f>SUM(L67:L69)</f>
        <v>46.50000000000001</v>
      </c>
      <c r="M70" s="3">
        <f>SUM(M67:M69)</f>
        <v>5.18166327698785</v>
      </c>
      <c r="N70" s="4"/>
      <c r="P70" s="5">
        <f>SUM(P67:P69)</f>
        <v>168.40405650210513</v>
      </c>
      <c r="Q70" s="5">
        <f>SUM(Q67:Q69)</f>
        <v>21442.85547273353</v>
      </c>
      <c r="R70" s="1">
        <f>Q70/P70</f>
        <v>127.32980379522795</v>
      </c>
      <c r="S70"/>
      <c r="T70"/>
    </row>
    <row r="71" spans="2:20" ht="12.75">
      <c r="B71" t="s">
        <v>54</v>
      </c>
      <c r="H71" s="2"/>
      <c r="I71" s="4"/>
      <c r="J71" s="3"/>
      <c r="K71" s="8"/>
      <c r="L71" s="8"/>
      <c r="M71" s="3"/>
      <c r="N71" s="4"/>
      <c r="P71" s="5">
        <f>SUM(P64+P70)</f>
        <v>336.80811300421027</v>
      </c>
      <c r="Q71" s="5">
        <f>SUM(Q64+Q70)</f>
        <v>43666.84921363286</v>
      </c>
      <c r="R71" s="1">
        <f>(SUM(Q64+Q70))/(SUM(P64+P70))</f>
        <v>129.6490420736599</v>
      </c>
      <c r="S71" s="3"/>
      <c r="T71"/>
    </row>
    <row r="72" spans="1:20" ht="12.75">
      <c r="A72" s="6" t="s">
        <v>10</v>
      </c>
      <c r="G72" s="4"/>
      <c r="H72" s="2"/>
      <c r="J72" s="3"/>
      <c r="K72"/>
      <c r="M72" s="3"/>
      <c r="N72" s="4"/>
      <c r="P72" s="5"/>
      <c r="Q72" s="5"/>
      <c r="R72"/>
      <c r="S72"/>
      <c r="T72"/>
    </row>
    <row r="73" spans="1:20" ht="12.75">
      <c r="A73" s="13" t="s">
        <v>52</v>
      </c>
      <c r="B73" t="s">
        <v>21</v>
      </c>
      <c r="C73" t="s">
        <v>33</v>
      </c>
      <c r="D73" t="s">
        <v>34</v>
      </c>
      <c r="E73" t="s">
        <v>22</v>
      </c>
      <c r="F73" t="s">
        <v>23</v>
      </c>
      <c r="G73" t="s">
        <v>35</v>
      </c>
      <c r="H73" s="2" t="s">
        <v>39</v>
      </c>
      <c r="I73" t="s">
        <v>40</v>
      </c>
      <c r="J73" s="3" t="s">
        <v>41</v>
      </c>
      <c r="K73" t="s">
        <v>42</v>
      </c>
      <c r="L73" t="s">
        <v>43</v>
      </c>
      <c r="M73" s="3" t="s">
        <v>44</v>
      </c>
      <c r="N73" s="9" t="s">
        <v>45</v>
      </c>
      <c r="O73" s="3" t="s">
        <v>47</v>
      </c>
      <c r="P73" s="11" t="s">
        <v>48</v>
      </c>
      <c r="Q73" s="11" t="s">
        <v>49</v>
      </c>
      <c r="R73" s="9" t="s">
        <v>50</v>
      </c>
      <c r="S73"/>
      <c r="T73"/>
    </row>
    <row r="74" spans="2:20" ht="12.75">
      <c r="B74" s="4" t="s">
        <v>27</v>
      </c>
      <c r="C74">
        <v>61491.9700609408</v>
      </c>
      <c r="D74" s="1">
        <f>'life.exp'!E104</f>
        <v>67.27666666666667</v>
      </c>
      <c r="E74" s="1">
        <f>$B$7</f>
        <v>0</v>
      </c>
      <c r="F74" s="1">
        <f>$C$7</f>
        <v>0.775</v>
      </c>
      <c r="G74" s="1">
        <f>E74*F74</f>
        <v>0</v>
      </c>
      <c r="H74" s="2">
        <v>0</v>
      </c>
      <c r="I74" s="1">
        <f>H74*G74</f>
        <v>0</v>
      </c>
      <c r="J74" s="3">
        <f>I74*$D$7/$B$3*(1-EXP(-$B$3*$B$4))</f>
        <v>0</v>
      </c>
      <c r="K74">
        <v>0</v>
      </c>
      <c r="L74" s="1">
        <f>G74*K74</f>
        <v>0</v>
      </c>
      <c r="M74" s="3">
        <f>L74*$E$7/$B$3*(1-EXP(-$B$3*duration1))</f>
        <v>0</v>
      </c>
      <c r="N74" s="4">
        <v>0</v>
      </c>
      <c r="O74" s="3">
        <f>N74*G74*(1/$B$3)*(1-EXP(-$B$3*$B$4))</f>
        <v>0</v>
      </c>
      <c r="P74" s="5">
        <f>M74+J74+O74</f>
        <v>0</v>
      </c>
      <c r="Q74" s="5">
        <f>E74*C74*$B$14/$B$3*(1-EXP(-$B$3*$B$4))</f>
        <v>0</v>
      </c>
      <c r="R74" s="1" t="e">
        <f>Q74/P74</f>
        <v>#DIV/0!</v>
      </c>
      <c r="S74"/>
      <c r="T74"/>
    </row>
    <row r="75" spans="2:20" ht="12.75">
      <c r="B75" s="4" t="s">
        <v>28</v>
      </c>
      <c r="C75">
        <v>124605.57379284523</v>
      </c>
      <c r="D75" s="1">
        <f>'life.exp'!E105</f>
        <v>61.22666666666667</v>
      </c>
      <c r="E75" s="1">
        <f>$B$8</f>
        <v>0.2</v>
      </c>
      <c r="F75" s="1">
        <f>$C$8</f>
        <v>0.775</v>
      </c>
      <c r="G75" s="1">
        <f>E75*F75</f>
        <v>0.15500000000000003</v>
      </c>
      <c r="H75" s="2">
        <v>4800</v>
      </c>
      <c r="I75" s="1">
        <f>H75*G75</f>
        <v>744.0000000000001</v>
      </c>
      <c r="J75" s="3">
        <f>I75*$D$8/$B$3*(1-EXP(-$B$3*$B$4))</f>
        <v>82.9066124318056</v>
      </c>
      <c r="K75">
        <v>300</v>
      </c>
      <c r="L75" s="1">
        <f>G75*K75</f>
        <v>46.50000000000001</v>
      </c>
      <c r="M75" s="3">
        <f>L75*$E$7/$B$3*(1-EXP(-$B$3*duration1))</f>
        <v>5.18166327698785</v>
      </c>
      <c r="N75" s="4">
        <v>0</v>
      </c>
      <c r="O75" s="3">
        <f>N75*G75*(1/$B$3)*(1-EXP(-$B$3*$B$4))</f>
        <v>0</v>
      </c>
      <c r="P75" s="5">
        <f>M75+J75+O75</f>
        <v>88.08827570879345</v>
      </c>
      <c r="Q75" s="5">
        <f>E75*C75*$B$14/$B$3*(1-EXP(-$B$3*$B$4))</f>
        <v>26092.698991891037</v>
      </c>
      <c r="R75" s="1">
        <f>Q75/P75</f>
        <v>296.21080424084545</v>
      </c>
      <c r="S75"/>
      <c r="T75"/>
    </row>
    <row r="76" spans="2:20" ht="12.75">
      <c r="B76" t="s">
        <v>29</v>
      </c>
      <c r="C76">
        <v>321373.0985966957</v>
      </c>
      <c r="D76" s="1">
        <f>'life.exp'!E106</f>
        <v>38.07540412605642</v>
      </c>
      <c r="E76" s="1">
        <f>$B$9</f>
        <v>0</v>
      </c>
      <c r="F76" s="1">
        <f>$C$9</f>
        <v>0.775</v>
      </c>
      <c r="G76" s="1">
        <f>E76*F76</f>
        <v>0</v>
      </c>
      <c r="H76" s="2">
        <v>72000</v>
      </c>
      <c r="I76" s="1">
        <f>H76*G76</f>
        <v>0</v>
      </c>
      <c r="J76" s="3">
        <f>I76*$D$9/$B$3*(1-EXP(-$B$3*$B$4))</f>
        <v>0</v>
      </c>
      <c r="K76">
        <v>23100</v>
      </c>
      <c r="L76" s="1">
        <f>G76*K76</f>
        <v>0</v>
      </c>
      <c r="M76" s="3">
        <f>L76*$E$7/$B$3*(1-EXP(-$B$3*duration1))</f>
        <v>0</v>
      </c>
      <c r="N76" s="4">
        <v>40</v>
      </c>
      <c r="O76" s="3">
        <f>N76*G76*(1/$B$3)*(1-EXP(-$B$3*$B$4))</f>
        <v>0</v>
      </c>
      <c r="P76" s="5">
        <f>M76+J76+O76</f>
        <v>0</v>
      </c>
      <c r="Q76" s="5">
        <f>E76*C76*$B$14/$B$3*(1-EXP(-$B$3*$B$4))</f>
        <v>0</v>
      </c>
      <c r="R76" s="1" t="e">
        <f>Q76/P76</f>
        <v>#DIV/0!</v>
      </c>
      <c r="S76"/>
      <c r="T76"/>
    </row>
    <row r="77" spans="2:20" ht="12.75">
      <c r="B77" t="s">
        <v>4</v>
      </c>
      <c r="C77" s="1">
        <f>SUM(C74:C76)</f>
        <v>507470.64245048177</v>
      </c>
      <c r="H77" s="2"/>
      <c r="I77" s="4">
        <f>SUM(I74:I76)</f>
        <v>744.0000000000001</v>
      </c>
      <c r="J77" s="3">
        <f>SUM(J74:J76)</f>
        <v>82.9066124318056</v>
      </c>
      <c r="K77" s="4"/>
      <c r="L77" s="4">
        <f>SUM(L74:L76)</f>
        <v>46.50000000000001</v>
      </c>
      <c r="M77" s="3">
        <f>SUM(M74:M76)</f>
        <v>5.18166327698785</v>
      </c>
      <c r="O77"/>
      <c r="P77" s="5">
        <f>SUM(P74:P76)</f>
        <v>88.08827570879345</v>
      </c>
      <c r="Q77" s="5">
        <f>SUM(Q74:Q76)</f>
        <v>26092.698991891037</v>
      </c>
      <c r="R77" s="1">
        <f>Q77/P77</f>
        <v>296.21080424084545</v>
      </c>
      <c r="S77"/>
      <c r="T77"/>
    </row>
    <row r="78" spans="8:20" ht="12.75">
      <c r="H78" s="2"/>
      <c r="J78" s="3"/>
      <c r="K78"/>
      <c r="M78" s="3"/>
      <c r="N78" s="4"/>
      <c r="P78" s="5"/>
      <c r="Q78" s="5"/>
      <c r="R78"/>
      <c r="S78"/>
      <c r="T78"/>
    </row>
    <row r="79" spans="1:20" ht="12.75">
      <c r="A79" s="13" t="s">
        <v>53</v>
      </c>
      <c r="B79" t="s">
        <v>21</v>
      </c>
      <c r="C79" t="s">
        <v>33</v>
      </c>
      <c r="D79" t="s">
        <v>34</v>
      </c>
      <c r="E79" t="s">
        <v>22</v>
      </c>
      <c r="F79" t="s">
        <v>23</v>
      </c>
      <c r="G79" t="s">
        <v>35</v>
      </c>
      <c r="H79" s="2" t="s">
        <v>39</v>
      </c>
      <c r="I79" t="s">
        <v>40</v>
      </c>
      <c r="J79" s="3" t="s">
        <v>41</v>
      </c>
      <c r="K79" t="s">
        <v>42</v>
      </c>
      <c r="L79" t="s">
        <v>43</v>
      </c>
      <c r="M79" s="3" t="s">
        <v>44</v>
      </c>
      <c r="N79" s="9" t="s">
        <v>45</v>
      </c>
      <c r="O79" s="3" t="s">
        <v>47</v>
      </c>
      <c r="P79" s="11" t="s">
        <v>48</v>
      </c>
      <c r="Q79" s="11" t="s">
        <v>49</v>
      </c>
      <c r="R79" s="9" t="s">
        <v>50</v>
      </c>
      <c r="S79"/>
      <c r="T79"/>
    </row>
    <row r="80" spans="2:20" ht="12.75">
      <c r="B80" s="4" t="s">
        <v>27</v>
      </c>
      <c r="C80">
        <v>58860.642877066</v>
      </c>
      <c r="D80" s="1">
        <f>'life.exp'!E116</f>
        <v>69.69666666666667</v>
      </c>
      <c r="E80" s="1">
        <f>$B$7</f>
        <v>0</v>
      </c>
      <c r="F80" s="1">
        <f>$C$7</f>
        <v>0.775</v>
      </c>
      <c r="G80" s="1">
        <f>E80*F80</f>
        <v>0</v>
      </c>
      <c r="H80" s="2">
        <v>0</v>
      </c>
      <c r="I80" s="1">
        <f>H80*G80</f>
        <v>0</v>
      </c>
      <c r="J80" s="3">
        <f>I80*$D$7/$B$3*(1-EXP(-$B$3*$B$4))</f>
        <v>0</v>
      </c>
      <c r="K80">
        <v>0</v>
      </c>
      <c r="L80" s="1">
        <f>G80*K80</f>
        <v>0</v>
      </c>
      <c r="M80" s="3">
        <f>L80*$E$7/$B$3*(1-EXP(-$B$3*duration1))</f>
        <v>0</v>
      </c>
      <c r="N80" s="4">
        <v>0</v>
      </c>
      <c r="O80" s="3">
        <f>N80*G80*(1/$B$3)*(1-EXP(-$B$3*$B$4))</f>
        <v>0</v>
      </c>
      <c r="P80" s="5">
        <f>M80+J80+O80</f>
        <v>0</v>
      </c>
      <c r="Q80" s="5">
        <f>E80*C80*$B$14/$B$3*(1-EXP(-$B$3*$B$4))</f>
        <v>0</v>
      </c>
      <c r="R80" s="1" t="e">
        <f>Q80/P80</f>
        <v>#DIV/0!</v>
      </c>
      <c r="S80"/>
      <c r="T80"/>
    </row>
    <row r="81" spans="2:20" ht="12.75">
      <c r="B81" s="4" t="s">
        <v>28</v>
      </c>
      <c r="C81">
        <v>119123.83854690708</v>
      </c>
      <c r="D81" s="1">
        <f>'life.exp'!E117</f>
        <v>63.31333333333333</v>
      </c>
      <c r="E81" s="1">
        <f>$B$8</f>
        <v>0.2</v>
      </c>
      <c r="F81" s="1">
        <f>$C$8</f>
        <v>0.775</v>
      </c>
      <c r="G81" s="1">
        <f>E81*F81</f>
        <v>0.15500000000000003</v>
      </c>
      <c r="H81" s="2">
        <v>4800</v>
      </c>
      <c r="I81" s="1">
        <f>H81*G81</f>
        <v>744.0000000000001</v>
      </c>
      <c r="J81" s="3">
        <f>I81*$D$8/$B$3*(1-EXP(-$B$3*$B$4))</f>
        <v>82.9066124318056</v>
      </c>
      <c r="K81">
        <v>300</v>
      </c>
      <c r="L81" s="1">
        <f>G81*K81</f>
        <v>46.50000000000001</v>
      </c>
      <c r="M81" s="3">
        <f>L81*$E$7/$B$3*(1-EXP(-$B$3*duration1))</f>
        <v>5.18166327698785</v>
      </c>
      <c r="N81" s="4">
        <v>0</v>
      </c>
      <c r="O81" s="3">
        <f>N81*G81*(1/$B$3)*(1-EXP(-$B$3*$B$4))</f>
        <v>0</v>
      </c>
      <c r="P81" s="5">
        <f>M81+J81+O81</f>
        <v>88.08827570879345</v>
      </c>
      <c r="Q81" s="5">
        <f>E81*C81*$B$14/$B$3*(1-EXP(-$B$3*$B$4))</f>
        <v>24944.81079257746</v>
      </c>
      <c r="R81" s="1">
        <f>Q81/P81</f>
        <v>283.17969209706456</v>
      </c>
      <c r="S81"/>
      <c r="T81"/>
    </row>
    <row r="82" spans="2:20" ht="12.75">
      <c r="B82" t="s">
        <v>29</v>
      </c>
      <c r="C82">
        <v>314544.87612554507</v>
      </c>
      <c r="D82" s="1">
        <f>'life.exp'!E118</f>
        <v>39.449609072054656</v>
      </c>
      <c r="E82" s="1">
        <f>$B$9</f>
        <v>0</v>
      </c>
      <c r="F82" s="1">
        <f>$C$9</f>
        <v>0.775</v>
      </c>
      <c r="G82" s="1">
        <f>E82*F82</f>
        <v>0</v>
      </c>
      <c r="H82" s="2">
        <v>72000</v>
      </c>
      <c r="I82" s="1">
        <f>H82*G82</f>
        <v>0</v>
      </c>
      <c r="J82" s="3">
        <f>I82*$D$9/$B$3*(1-EXP(-$B$3*$B$4))</f>
        <v>0</v>
      </c>
      <c r="K82">
        <v>23100</v>
      </c>
      <c r="L82" s="1">
        <f>G82*K82</f>
        <v>0</v>
      </c>
      <c r="M82" s="3">
        <f>L82*$E$7/$B$3*(1-EXP(-$B$3*duration1))</f>
        <v>0</v>
      </c>
      <c r="N82" s="4">
        <v>50</v>
      </c>
      <c r="O82" s="3">
        <f>N82*G82*(1/$B$3)*(1-EXP(-$B$3*$B$4))</f>
        <v>0</v>
      </c>
      <c r="P82" s="5">
        <f>M82+J82+O82</f>
        <v>0</v>
      </c>
      <c r="Q82" s="5">
        <f>E82*C82*$B$14/$B$3*(1-EXP(-$B$3*$B$4))</f>
        <v>0</v>
      </c>
      <c r="R82" s="1" t="e">
        <f>Q82/P82</f>
        <v>#DIV/0!</v>
      </c>
      <c r="S82"/>
      <c r="T82"/>
    </row>
    <row r="83" spans="2:20" ht="12.75">
      <c r="B83" t="s">
        <v>4</v>
      </c>
      <c r="C83" s="1">
        <f>SUM(C80:C82)</f>
        <v>492529.3575495181</v>
      </c>
      <c r="H83" s="2"/>
      <c r="I83" s="4">
        <f>SUM(I80:I82)</f>
        <v>744.0000000000001</v>
      </c>
      <c r="J83" s="3">
        <f>SUM(J80:J82)</f>
        <v>82.9066124318056</v>
      </c>
      <c r="K83" s="4"/>
      <c r="L83" s="4">
        <f>SUM(L80:L82)</f>
        <v>46.50000000000001</v>
      </c>
      <c r="M83" s="3">
        <f>SUM(M80:M82)</f>
        <v>5.18166327698785</v>
      </c>
      <c r="O83"/>
      <c r="P83" s="5">
        <f>SUM(P80:P82)</f>
        <v>88.08827570879345</v>
      </c>
      <c r="Q83" s="5">
        <f>SUM(Q80:Q82)</f>
        <v>24944.81079257746</v>
      </c>
      <c r="R83" s="1">
        <f>Q83/P83</f>
        <v>283.17969209706456</v>
      </c>
      <c r="S83"/>
      <c r="T83"/>
    </row>
    <row r="84" spans="2:20" ht="12.75">
      <c r="B84" t="s">
        <v>54</v>
      </c>
      <c r="H84" s="2"/>
      <c r="I84" s="4"/>
      <c r="J84" s="3"/>
      <c r="K84" s="8"/>
      <c r="L84" s="8"/>
      <c r="M84" s="3"/>
      <c r="N84" s="4"/>
      <c r="P84" s="5">
        <f>SUM(P77+P83)</f>
        <v>176.1765514175869</v>
      </c>
      <c r="Q84" s="5">
        <f>SUM(Q77+Q83)</f>
        <v>51037.50978446849</v>
      </c>
      <c r="R84" s="1">
        <f>(SUM(Q77+Q83))/(SUM(P77+P83))</f>
        <v>289.695248168955</v>
      </c>
      <c r="S84" s="3"/>
      <c r="T84"/>
    </row>
    <row r="85" spans="1:20" ht="12.75">
      <c r="A85" s="6" t="s">
        <v>11</v>
      </c>
      <c r="G85" s="4"/>
      <c r="H85" s="2"/>
      <c r="J85" s="3"/>
      <c r="K85"/>
      <c r="M85" s="3"/>
      <c r="O85"/>
      <c r="P85" s="5"/>
      <c r="Q85" s="5"/>
      <c r="R85"/>
      <c r="S85"/>
      <c r="T85"/>
    </row>
    <row r="86" spans="1:20" ht="12.75">
      <c r="A86" s="13" t="s">
        <v>52</v>
      </c>
      <c r="B86" t="s">
        <v>21</v>
      </c>
      <c r="C86" t="s">
        <v>33</v>
      </c>
      <c r="D86" t="s">
        <v>34</v>
      </c>
      <c r="E86" t="s">
        <v>22</v>
      </c>
      <c r="F86" t="s">
        <v>23</v>
      </c>
      <c r="G86" t="s">
        <v>35</v>
      </c>
      <c r="H86" s="2" t="s">
        <v>39</v>
      </c>
      <c r="I86" t="s">
        <v>40</v>
      </c>
      <c r="J86" s="3" t="s">
        <v>41</v>
      </c>
      <c r="K86" t="s">
        <v>42</v>
      </c>
      <c r="L86" t="s">
        <v>43</v>
      </c>
      <c r="M86" s="3" t="s">
        <v>44</v>
      </c>
      <c r="N86" s="9" t="s">
        <v>45</v>
      </c>
      <c r="O86" s="3" t="s">
        <v>47</v>
      </c>
      <c r="P86" s="11" t="s">
        <v>48</v>
      </c>
      <c r="Q86" s="11" t="s">
        <v>49</v>
      </c>
      <c r="R86" s="9" t="s">
        <v>50</v>
      </c>
      <c r="S86"/>
      <c r="T86"/>
    </row>
    <row r="87" spans="2:20" ht="12.75">
      <c r="B87" s="4" t="s">
        <v>27</v>
      </c>
      <c r="C87">
        <v>63650.57841812037</v>
      </c>
      <c r="D87" s="1">
        <f>'life.exp'!E129</f>
        <v>63.343333333333334</v>
      </c>
      <c r="E87" s="1">
        <f>$B$7</f>
        <v>0</v>
      </c>
      <c r="F87" s="1">
        <f>$C$7</f>
        <v>0.775</v>
      </c>
      <c r="G87" s="1">
        <f>E87*F87</f>
        <v>0</v>
      </c>
      <c r="H87" s="2">
        <v>0</v>
      </c>
      <c r="I87" s="1">
        <f>H87*G87</f>
        <v>0</v>
      </c>
      <c r="J87" s="3">
        <f>I87*$D$7/$B$3*(1-EXP(-$B$3*$B$4))</f>
        <v>0</v>
      </c>
      <c r="K87">
        <v>0</v>
      </c>
      <c r="L87" s="1">
        <f>G87*K87</f>
        <v>0</v>
      </c>
      <c r="M87" s="3">
        <f>L87*$E$7/$B$3*(1-EXP(-$B$3*duration1))</f>
        <v>0</v>
      </c>
      <c r="N87" s="4">
        <v>0</v>
      </c>
      <c r="O87" s="3">
        <f>N87*G87*(1/$B$3)*(1-EXP(-$B$3*$B$4))</f>
        <v>0</v>
      </c>
      <c r="P87" s="5">
        <f>M87+J87+O87</f>
        <v>0</v>
      </c>
      <c r="Q87" s="5">
        <f>E87*C87*$B$14/$B$3*(1-EXP(-$B$3*$B$4))</f>
        <v>0</v>
      </c>
      <c r="R87" s="1" t="e">
        <f>Q87/P87</f>
        <v>#DIV/0!</v>
      </c>
      <c r="S87"/>
      <c r="T87"/>
    </row>
    <row r="88" spans="2:20" ht="12.75">
      <c r="B88" s="4" t="s">
        <v>28</v>
      </c>
      <c r="C88">
        <v>118285.46251045544</v>
      </c>
      <c r="D88" s="1">
        <f>'life.exp'!E130</f>
        <v>58.38333333333333</v>
      </c>
      <c r="E88" s="1">
        <f>$B$8</f>
        <v>0.2</v>
      </c>
      <c r="F88" s="1">
        <f>$C$8</f>
        <v>0.775</v>
      </c>
      <c r="G88" s="1">
        <f>E88*F88</f>
        <v>0.15500000000000003</v>
      </c>
      <c r="H88" s="2">
        <v>15750</v>
      </c>
      <c r="I88" s="1">
        <f>H88*G88</f>
        <v>2441.2500000000005</v>
      </c>
      <c r="J88" s="3">
        <f>I88*$D$8/$B$3*(1-EXP(-$B$3*$B$4))</f>
        <v>272.0373220418622</v>
      </c>
      <c r="K88">
        <v>700</v>
      </c>
      <c r="L88" s="1">
        <f>G88*K88</f>
        <v>108.50000000000001</v>
      </c>
      <c r="M88" s="3">
        <f>L88*$E$7/$B$3*(1-EXP(-$B$3*duration1))</f>
        <v>12.090547646304985</v>
      </c>
      <c r="N88" s="4">
        <v>0</v>
      </c>
      <c r="O88" s="3">
        <f>N88*G88*(1/$B$3)*(1-EXP(-$B$3*$B$4))</f>
        <v>0</v>
      </c>
      <c r="P88" s="5">
        <f>M88+J88+O88</f>
        <v>284.12786968816715</v>
      </c>
      <c r="Q88" s="5">
        <f>E88*C88*$B$14/$B$3*(1-EXP(-$B$3*$B$4))</f>
        <v>24769.252886977552</v>
      </c>
      <c r="R88" s="1">
        <f>Q88/P88</f>
        <v>87.17642839529267</v>
      </c>
      <c r="S88"/>
      <c r="T88"/>
    </row>
    <row r="89" spans="2:20" ht="12.75">
      <c r="B89" t="s">
        <v>29</v>
      </c>
      <c r="C89">
        <v>332994.7898223395</v>
      </c>
      <c r="D89" s="1">
        <f>'life.exp'!E131</f>
        <v>34.62145857933762</v>
      </c>
      <c r="E89" s="1">
        <f>$B$9</f>
        <v>0</v>
      </c>
      <c r="F89" s="1">
        <f>$C$9</f>
        <v>0.775</v>
      </c>
      <c r="G89" s="1">
        <f>E89*F89</f>
        <v>0</v>
      </c>
      <c r="H89" s="2">
        <v>244500</v>
      </c>
      <c r="I89" s="1">
        <f>H89*G89</f>
        <v>0</v>
      </c>
      <c r="J89" s="3">
        <f>I89*$D$9/$B$3*(1-EXP(-$B$3*$B$4))</f>
        <v>0</v>
      </c>
      <c r="K89">
        <v>62100</v>
      </c>
      <c r="L89" s="1">
        <f>G89*K89</f>
        <v>0</v>
      </c>
      <c r="M89" s="3">
        <f>L89*$E$7/$B$3*(1-EXP(-$B$3*duration1))</f>
        <v>0</v>
      </c>
      <c r="N89" s="4">
        <v>100</v>
      </c>
      <c r="O89" s="3">
        <f>N89*G89*(1/$B$3)*(1-EXP(-$B$3*$B$4))</f>
        <v>0</v>
      </c>
      <c r="P89" s="5">
        <f>M89+J89+O89</f>
        <v>0</v>
      </c>
      <c r="Q89" s="5">
        <f>E89*C89*$B$14/$B$3*(1-EXP(-$B$3*$B$4))</f>
        <v>0</v>
      </c>
      <c r="R89" s="1" t="e">
        <f>Q89/P89</f>
        <v>#DIV/0!</v>
      </c>
      <c r="S89"/>
      <c r="T89"/>
    </row>
    <row r="90" spans="2:20" ht="12.75">
      <c r="B90" t="s">
        <v>4</v>
      </c>
      <c r="C90" s="1">
        <f>SUM(C87:C89)</f>
        <v>514930.83075091534</v>
      </c>
      <c r="H90" s="2"/>
      <c r="I90" s="4">
        <f>SUM(I87:I89)</f>
        <v>2441.2500000000005</v>
      </c>
      <c r="J90" s="3">
        <f>SUM(J87:J89)</f>
        <v>272.0373220418622</v>
      </c>
      <c r="K90" s="4"/>
      <c r="L90" s="4">
        <f>SUM(L87:L89)</f>
        <v>108.50000000000001</v>
      </c>
      <c r="M90" s="3">
        <f>SUM(M87:M89)</f>
        <v>12.090547646304985</v>
      </c>
      <c r="O90"/>
      <c r="P90" s="5">
        <f>SUM(P87:P89)</f>
        <v>284.12786968816715</v>
      </c>
      <c r="Q90" s="5">
        <f>SUM(Q87:Q89)</f>
        <v>24769.252886977552</v>
      </c>
      <c r="R90" s="1">
        <f>Q90/P90</f>
        <v>87.17642839529267</v>
      </c>
      <c r="S90"/>
      <c r="T90"/>
    </row>
    <row r="91" spans="8:20" ht="12.75">
      <c r="H91" s="2"/>
      <c r="J91" s="3"/>
      <c r="K91"/>
      <c r="M91" s="3"/>
      <c r="N91" s="4"/>
      <c r="P91" s="5"/>
      <c r="Q91" s="5"/>
      <c r="R91"/>
      <c r="S91"/>
      <c r="T91"/>
    </row>
    <row r="92" spans="1:20" ht="12.75">
      <c r="A92" s="13" t="s">
        <v>53</v>
      </c>
      <c r="B92" t="s">
        <v>21</v>
      </c>
      <c r="C92" t="s">
        <v>33</v>
      </c>
      <c r="D92" t="s">
        <v>34</v>
      </c>
      <c r="E92" t="s">
        <v>22</v>
      </c>
      <c r="F92" t="s">
        <v>23</v>
      </c>
      <c r="G92" t="s">
        <v>35</v>
      </c>
      <c r="H92" s="2" t="s">
        <v>39</v>
      </c>
      <c r="I92" t="s">
        <v>40</v>
      </c>
      <c r="J92" s="3" t="s">
        <v>41</v>
      </c>
      <c r="K92" t="s">
        <v>42</v>
      </c>
      <c r="L92" t="s">
        <v>43</v>
      </c>
      <c r="M92" s="3" t="s">
        <v>44</v>
      </c>
      <c r="N92" s="9" t="s">
        <v>45</v>
      </c>
      <c r="O92" s="3" t="s">
        <v>47</v>
      </c>
      <c r="P92" s="11" t="s">
        <v>48</v>
      </c>
      <c r="Q92" s="11" t="s">
        <v>49</v>
      </c>
      <c r="R92" s="9" t="s">
        <v>50</v>
      </c>
      <c r="S92"/>
      <c r="T92"/>
    </row>
    <row r="93" spans="2:20" ht="12.75">
      <c r="B93" s="4" t="s">
        <v>27</v>
      </c>
      <c r="C93">
        <v>60068.245821545046</v>
      </c>
      <c r="D93" s="1">
        <f>'life.exp'!E141</f>
        <v>64.38</v>
      </c>
      <c r="E93" s="1">
        <f>$B$7</f>
        <v>0</v>
      </c>
      <c r="F93" s="1">
        <f>$C$7</f>
        <v>0.775</v>
      </c>
      <c r="G93" s="1">
        <f>E93*F93</f>
        <v>0</v>
      </c>
      <c r="H93" s="2">
        <v>0</v>
      </c>
      <c r="I93" s="1">
        <f>H93*G93</f>
        <v>0</v>
      </c>
      <c r="J93" s="3">
        <f>I93*$D$7/$B$3*(1-EXP(-$B$3*$B$4))</f>
        <v>0</v>
      </c>
      <c r="K93">
        <v>0</v>
      </c>
      <c r="L93" s="1">
        <f>G93*K93</f>
        <v>0</v>
      </c>
      <c r="M93" s="3">
        <f>L93*$E$7/$B$3*(1-EXP(-$B$3*duration1))</f>
        <v>0</v>
      </c>
      <c r="N93" s="4">
        <v>0</v>
      </c>
      <c r="O93" s="3">
        <f>N93*G93*(1/$B$3)*(1-EXP(-$B$3*$B$4))</f>
        <v>0</v>
      </c>
      <c r="P93" s="5">
        <f>M93+J93+O93</f>
        <v>0</v>
      </c>
      <c r="Q93" s="5">
        <f>E93*C93*$B$14/$B$3*(1-EXP(-$B$3*$B$4))</f>
        <v>0</v>
      </c>
      <c r="R93" s="1" t="e">
        <f>Q93/P93</f>
        <v>#DIV/0!</v>
      </c>
      <c r="S93"/>
      <c r="T93"/>
    </row>
    <row r="94" spans="2:20" ht="12.75">
      <c r="B94" s="4" t="s">
        <v>28</v>
      </c>
      <c r="C94">
        <v>110637.05558237786</v>
      </c>
      <c r="D94" s="1">
        <f>'life.exp'!E142</f>
        <v>59.06333333333333</v>
      </c>
      <c r="E94" s="1">
        <f>$B$8</f>
        <v>0.2</v>
      </c>
      <c r="F94" s="1">
        <f>$C$8</f>
        <v>0.775</v>
      </c>
      <c r="G94" s="1">
        <f>E94*F94</f>
        <v>0.15500000000000003</v>
      </c>
      <c r="H94" s="2">
        <v>15750</v>
      </c>
      <c r="I94" s="1">
        <f>H94*G94</f>
        <v>2441.2500000000005</v>
      </c>
      <c r="J94" s="3">
        <f>I94*$D$8/$B$3*(1-EXP(-$B$3*$B$4))</f>
        <v>272.0373220418622</v>
      </c>
      <c r="K94">
        <v>700</v>
      </c>
      <c r="L94" s="1">
        <f>G94*K94</f>
        <v>108.50000000000001</v>
      </c>
      <c r="M94" s="3">
        <f>L94*$E$7/$B$3*(1-EXP(-$B$3*duration1))</f>
        <v>12.090547646304985</v>
      </c>
      <c r="N94" s="4">
        <v>0</v>
      </c>
      <c r="O94" s="3">
        <f>N94*G94*(1/$B$3)*(1-EXP(-$B$3*$B$4))</f>
        <v>0</v>
      </c>
      <c r="P94" s="5">
        <f>M94+J94+O94</f>
        <v>284.12786968816715</v>
      </c>
      <c r="Q94" s="5">
        <f>E94*C94*$B$14/$B$3*(1-EXP(-$B$3*$B$4))</f>
        <v>23167.658562845627</v>
      </c>
      <c r="R94" s="1">
        <f>Q94/P94</f>
        <v>81.53954973960258</v>
      </c>
      <c r="S94"/>
      <c r="T94"/>
    </row>
    <row r="95" spans="2:20" ht="12.75">
      <c r="B95" t="s">
        <v>29</v>
      </c>
      <c r="C95">
        <v>314363.86784516193</v>
      </c>
      <c r="D95" s="1">
        <f>'life.exp'!E143</f>
        <v>35.00336053583785</v>
      </c>
      <c r="E95" s="1">
        <f>$B$9</f>
        <v>0</v>
      </c>
      <c r="F95" s="1">
        <f>$C$9</f>
        <v>0.775</v>
      </c>
      <c r="G95" s="1">
        <f>E95*F95</f>
        <v>0</v>
      </c>
      <c r="H95" s="2">
        <v>244500</v>
      </c>
      <c r="I95" s="1">
        <f>H95*G95</f>
        <v>0</v>
      </c>
      <c r="J95" s="3">
        <f>I95*$D$9/$B$3*(1-EXP(-$B$3*$B$4))</f>
        <v>0</v>
      </c>
      <c r="K95">
        <v>62100</v>
      </c>
      <c r="L95" s="1">
        <f>G95*K95</f>
        <v>0</v>
      </c>
      <c r="M95" s="3">
        <f>L95*$E$7/$B$3*(1-EXP(-$B$3*duration1))</f>
        <v>0</v>
      </c>
      <c r="N95" s="4">
        <v>140</v>
      </c>
      <c r="O95" s="3">
        <f>N95*G95*(1/$B$3)*(1-EXP(-$B$3*$B$4))</f>
        <v>0</v>
      </c>
      <c r="P95" s="5">
        <f>M95+J95+O95</f>
        <v>0</v>
      </c>
      <c r="Q95" s="5">
        <f>E95*C95*$B$14/$B$3*(1-EXP(-$B$3*$B$4))</f>
        <v>0</v>
      </c>
      <c r="R95" s="1" t="e">
        <f>Q95/P95</f>
        <v>#DIV/0!</v>
      </c>
      <c r="S95"/>
      <c r="T95"/>
    </row>
    <row r="96" spans="2:20" ht="12.75">
      <c r="B96" t="s">
        <v>4</v>
      </c>
      <c r="C96" s="1">
        <f>SUM(C93:C95)</f>
        <v>485069.1692490848</v>
      </c>
      <c r="H96" s="2"/>
      <c r="I96" s="4">
        <f>SUM(I93:I95)</f>
        <v>2441.2500000000005</v>
      </c>
      <c r="J96" s="3">
        <f>SUM(J93:J95)</f>
        <v>272.0373220418622</v>
      </c>
      <c r="K96" s="4"/>
      <c r="L96" s="4">
        <f>SUM(L93:L95)</f>
        <v>108.50000000000001</v>
      </c>
      <c r="M96" s="3">
        <f>SUM(M93:M95)</f>
        <v>12.090547646304985</v>
      </c>
      <c r="O96"/>
      <c r="P96" s="5">
        <f>SUM(P93:P95)</f>
        <v>284.12786968816715</v>
      </c>
      <c r="Q96" s="5">
        <f>SUM(Q93:Q95)</f>
        <v>23167.658562845627</v>
      </c>
      <c r="R96" s="1">
        <f>Q96/P96</f>
        <v>81.53954973960258</v>
      </c>
      <c r="S96"/>
      <c r="T96"/>
    </row>
    <row r="97" spans="2:20" ht="12.75">
      <c r="B97" t="s">
        <v>54</v>
      </c>
      <c r="H97" s="2"/>
      <c r="I97" s="4"/>
      <c r="J97" s="3"/>
      <c r="K97" s="8"/>
      <c r="L97" s="8"/>
      <c r="M97" s="3"/>
      <c r="O97"/>
      <c r="P97" s="5">
        <f>SUM(P90+P96)</f>
        <v>568.2557393763343</v>
      </c>
      <c r="Q97" s="5">
        <f>SUM(Q90+Q96)</f>
        <v>47936.91144982318</v>
      </c>
      <c r="R97" s="1">
        <f>(SUM(Q90+Q96))/(SUM(P90+P96))</f>
        <v>84.35798906744763</v>
      </c>
      <c r="S97" s="3"/>
      <c r="T97"/>
    </row>
    <row r="98" spans="1:20" ht="12.75">
      <c r="A98" s="6" t="s">
        <v>12</v>
      </c>
      <c r="H98" s="2"/>
      <c r="J98" s="3"/>
      <c r="K98"/>
      <c r="M98" s="3"/>
      <c r="O98"/>
      <c r="P98" s="5"/>
      <c r="Q98" s="5"/>
      <c r="R98"/>
      <c r="S98"/>
      <c r="T98"/>
    </row>
    <row r="99" spans="1:20" ht="12.75">
      <c r="A99" s="13" t="s">
        <v>52</v>
      </c>
      <c r="B99" t="s">
        <v>21</v>
      </c>
      <c r="C99" t="s">
        <v>33</v>
      </c>
      <c r="D99" t="s">
        <v>34</v>
      </c>
      <c r="E99" t="s">
        <v>22</v>
      </c>
      <c r="F99" t="s">
        <v>23</v>
      </c>
      <c r="G99" t="s">
        <v>35</v>
      </c>
      <c r="H99" s="2" t="s">
        <v>39</v>
      </c>
      <c r="I99" t="s">
        <v>40</v>
      </c>
      <c r="J99" s="3" t="s">
        <v>41</v>
      </c>
      <c r="K99" t="s">
        <v>42</v>
      </c>
      <c r="L99" t="s">
        <v>43</v>
      </c>
      <c r="M99" s="3" t="s">
        <v>44</v>
      </c>
      <c r="N99" s="9" t="s">
        <v>45</v>
      </c>
      <c r="O99" s="3" t="s">
        <v>47</v>
      </c>
      <c r="P99" s="11" t="s">
        <v>48</v>
      </c>
      <c r="Q99" s="11" t="s">
        <v>49</v>
      </c>
      <c r="R99" s="9" t="s">
        <v>50</v>
      </c>
      <c r="S99"/>
      <c r="T99"/>
    </row>
    <row r="100" spans="2:20" ht="12.75">
      <c r="B100" s="4" t="s">
        <v>27</v>
      </c>
      <c r="C100">
        <v>85547.2543201574</v>
      </c>
      <c r="D100" s="1">
        <f>'life.exp'!E154</f>
        <v>47.2</v>
      </c>
      <c r="E100" s="1">
        <f>$B$7</f>
        <v>0</v>
      </c>
      <c r="F100" s="1">
        <f>$C$7</f>
        <v>0.775</v>
      </c>
      <c r="G100" s="1">
        <f>E100*F100</f>
        <v>0</v>
      </c>
      <c r="H100" s="2">
        <v>0</v>
      </c>
      <c r="I100" s="1">
        <f>H100*G100</f>
        <v>0</v>
      </c>
      <c r="J100" s="3">
        <f>I100*$D$7/$B$3*(1-EXP(-$B$3*$B$4))</f>
        <v>0</v>
      </c>
      <c r="K100" s="2">
        <v>0</v>
      </c>
      <c r="L100" s="1">
        <f>G100*K100</f>
        <v>0</v>
      </c>
      <c r="M100" s="3">
        <f>L100*$E$7/$B$3*(1-EXP(-$B$3*duration1))</f>
        <v>0</v>
      </c>
      <c r="N100" s="4">
        <v>0</v>
      </c>
      <c r="O100" s="3">
        <f>N100*G100*(1/$B$3)*(1-EXP(-$B$3*$B$4))</f>
        <v>0</v>
      </c>
      <c r="P100" s="5">
        <f>M100+J100+O100</f>
        <v>0</v>
      </c>
      <c r="Q100" s="5">
        <f>E100*C100*$B$14/$B$3*(1-EXP(-$B$3*$B$4))</f>
        <v>0</v>
      </c>
      <c r="R100" s="1" t="e">
        <f>Q100/P100</f>
        <v>#DIV/0!</v>
      </c>
      <c r="S100"/>
      <c r="T100"/>
    </row>
    <row r="101" spans="2:20" ht="12.75">
      <c r="B101" s="4" t="s">
        <v>28</v>
      </c>
      <c r="C101">
        <v>137307.8226940257</v>
      </c>
      <c r="D101" s="1">
        <f>'life.exp'!E155</f>
        <v>44.4</v>
      </c>
      <c r="E101" s="1">
        <f>$B$8</f>
        <v>0.2</v>
      </c>
      <c r="F101" s="1">
        <f>$C$8</f>
        <v>0.775</v>
      </c>
      <c r="G101" s="1">
        <f>E101*F101</f>
        <v>0.15500000000000003</v>
      </c>
      <c r="H101" s="2">
        <v>12600</v>
      </c>
      <c r="I101" s="1">
        <f>H101*G101</f>
        <v>1953.0000000000002</v>
      </c>
      <c r="J101" s="3">
        <f>I101*$D$8/$B$3*(1-EXP(-$B$3*$B$4))</f>
        <v>217.62985763348973</v>
      </c>
      <c r="K101" s="2">
        <v>1800</v>
      </c>
      <c r="L101" s="1">
        <f>G101*K101</f>
        <v>279.00000000000006</v>
      </c>
      <c r="M101" s="3">
        <f>L101*$E$7/$B$3*(1-EXP(-$B$3*duration1))</f>
        <v>31.089979661927103</v>
      </c>
      <c r="N101" s="4">
        <v>0</v>
      </c>
      <c r="O101" s="3">
        <f>N101*G101*(1/$B$3)*(1-EXP(-$B$3*$B$4))</f>
        <v>0</v>
      </c>
      <c r="P101" s="5">
        <f>M101+J101+O101</f>
        <v>248.71983729541682</v>
      </c>
      <c r="Q101" s="5">
        <f>E101*C101*$B$14/$B$3*(1-EXP(-$B$3*$B$4))</f>
        <v>28752.579661832715</v>
      </c>
      <c r="R101" s="1">
        <f>Q101/P101</f>
        <v>115.60227754443991</v>
      </c>
      <c r="S101"/>
      <c r="T101"/>
    </row>
    <row r="102" spans="2:20" ht="12.75">
      <c r="B102" t="s">
        <v>29</v>
      </c>
      <c r="C102">
        <v>273419.6033645808</v>
      </c>
      <c r="D102" s="1">
        <f>'life.exp'!E156</f>
        <v>28.50356521267218</v>
      </c>
      <c r="E102" s="1">
        <f>$B$9</f>
        <v>0</v>
      </c>
      <c r="F102" s="1">
        <f>$C$9</f>
        <v>0.775</v>
      </c>
      <c r="G102" s="1">
        <f>E102*F102</f>
        <v>0</v>
      </c>
      <c r="H102" s="2">
        <v>172800</v>
      </c>
      <c r="I102" s="1">
        <f>H102*G102</f>
        <v>0</v>
      </c>
      <c r="J102" s="3">
        <f>I102*$D$9/$B$3*(1-EXP(-$B$3*$B$4))</f>
        <v>0</v>
      </c>
      <c r="K102" s="2">
        <v>79500</v>
      </c>
      <c r="L102" s="1">
        <f>G102*K102</f>
        <v>0</v>
      </c>
      <c r="M102" s="3">
        <f>L102*$E$7/$B$3*(1-EXP(-$B$3*duration1))</f>
        <v>0</v>
      </c>
      <c r="N102" s="4">
        <v>170</v>
      </c>
      <c r="O102" s="3">
        <f>N102*G102*(1/$B$3)*(1-EXP(-$B$3*$B$4))</f>
        <v>0</v>
      </c>
      <c r="P102" s="5">
        <f>M102+J102+O102</f>
        <v>0</v>
      </c>
      <c r="Q102" s="5">
        <f>E102*C102*$B$14/$B$3*(1-EXP(-$B$3*$B$4))</f>
        <v>0</v>
      </c>
      <c r="R102" s="1" t="e">
        <f>Q102/P102</f>
        <v>#DIV/0!</v>
      </c>
      <c r="S102"/>
      <c r="T102"/>
    </row>
    <row r="103" spans="2:20" ht="12.75">
      <c r="B103" t="s">
        <v>4</v>
      </c>
      <c r="C103" s="1">
        <f>SUM(C100:C102)</f>
        <v>496274.6803787639</v>
      </c>
      <c r="H103" s="2"/>
      <c r="I103" s="4">
        <f>SUM(I100:I102)</f>
        <v>1953.0000000000002</v>
      </c>
      <c r="J103" s="3">
        <f>SUM(J100:J102)</f>
        <v>217.62985763348973</v>
      </c>
      <c r="K103" s="4"/>
      <c r="L103" s="4">
        <f>SUM(L100:L102)</f>
        <v>279.00000000000006</v>
      </c>
      <c r="M103" s="3">
        <f>SUM(M100:M102)</f>
        <v>31.089979661927103</v>
      </c>
      <c r="O103"/>
      <c r="P103" s="5">
        <f>SUM(P100:P102)</f>
        <v>248.71983729541682</v>
      </c>
      <c r="Q103" s="5">
        <f>SUM(Q100:Q102)</f>
        <v>28752.579661832715</v>
      </c>
      <c r="R103" s="1">
        <f>Q103/P103</f>
        <v>115.60227754443991</v>
      </c>
      <c r="S103"/>
      <c r="T103"/>
    </row>
    <row r="104" spans="8:20" ht="12.75">
      <c r="H104" s="2"/>
      <c r="J104" s="3"/>
      <c r="K104"/>
      <c r="M104" s="3"/>
      <c r="O104"/>
      <c r="P104" s="5"/>
      <c r="Q104" s="5"/>
      <c r="R104"/>
      <c r="S104"/>
      <c r="T104"/>
    </row>
    <row r="105" spans="1:20" ht="12.75">
      <c r="A105" s="13" t="s">
        <v>53</v>
      </c>
      <c r="B105" t="s">
        <v>21</v>
      </c>
      <c r="C105" t="s">
        <v>33</v>
      </c>
      <c r="D105" t="s">
        <v>34</v>
      </c>
      <c r="E105" t="s">
        <v>22</v>
      </c>
      <c r="F105" t="s">
        <v>23</v>
      </c>
      <c r="G105" t="s">
        <v>35</v>
      </c>
      <c r="H105" s="2" t="s">
        <v>39</v>
      </c>
      <c r="I105" t="s">
        <v>40</v>
      </c>
      <c r="J105" s="3" t="s">
        <v>41</v>
      </c>
      <c r="K105" t="s">
        <v>42</v>
      </c>
      <c r="L105" t="s">
        <v>43</v>
      </c>
      <c r="M105" s="3" t="s">
        <v>44</v>
      </c>
      <c r="N105" s="9" t="s">
        <v>45</v>
      </c>
      <c r="O105" s="3" t="s">
        <v>47</v>
      </c>
      <c r="P105" s="11" t="s">
        <v>48</v>
      </c>
      <c r="Q105" s="11" t="s">
        <v>49</v>
      </c>
      <c r="R105" s="9" t="s">
        <v>50</v>
      </c>
      <c r="S105"/>
      <c r="T105"/>
    </row>
    <row r="106" spans="2:20" ht="12.75">
      <c r="B106" s="4" t="s">
        <v>27</v>
      </c>
      <c r="C106">
        <v>84114.3901123115</v>
      </c>
      <c r="D106" s="1">
        <f>'life.exp'!E166</f>
        <v>48.47333333333333</v>
      </c>
      <c r="E106" s="1">
        <f>$B$7</f>
        <v>0</v>
      </c>
      <c r="F106" s="1">
        <f>$C$7</f>
        <v>0.775</v>
      </c>
      <c r="G106" s="1">
        <f>E106*F106</f>
        <v>0</v>
      </c>
      <c r="H106" s="2">
        <v>0</v>
      </c>
      <c r="I106" s="1">
        <f>H106*G106</f>
        <v>0</v>
      </c>
      <c r="J106" s="3">
        <f>I106*$D$7/$B$3*(1-EXP(-$B$3*$B$4))</f>
        <v>0</v>
      </c>
      <c r="K106" s="2">
        <v>0</v>
      </c>
      <c r="L106" s="1">
        <f>G106*K106</f>
        <v>0</v>
      </c>
      <c r="M106" s="3">
        <f>L106*$E$7/$B$3*(1-EXP(-$B$3*duration1))</f>
        <v>0</v>
      </c>
      <c r="N106" s="4">
        <v>0</v>
      </c>
      <c r="O106" s="3">
        <f>N106*G106*(1/$B$3)*(1-EXP(-$B$3*$B$4))</f>
        <v>0</v>
      </c>
      <c r="P106" s="5">
        <f>M106+J106+O106</f>
        <v>0</v>
      </c>
      <c r="Q106" s="5">
        <f>E106*C106*$B$14/$B$3*(1-EXP(-$B$3*$B$4))</f>
        <v>0</v>
      </c>
      <c r="R106" s="1" t="e">
        <f>Q106/P106</f>
        <v>#DIV/0!</v>
      </c>
      <c r="S106"/>
      <c r="T106"/>
    </row>
    <row r="107" spans="2:20" ht="12.75">
      <c r="B107" s="4" t="s">
        <v>28</v>
      </c>
      <c r="C107">
        <v>135615.74303188027</v>
      </c>
      <c r="D107" s="1">
        <f>'life.exp'!E167</f>
        <v>45.55</v>
      </c>
      <c r="E107" s="1">
        <f>$B$8</f>
        <v>0.2</v>
      </c>
      <c r="F107" s="1">
        <f>$C$8</f>
        <v>0.775</v>
      </c>
      <c r="G107" s="1">
        <f>E107*F107</f>
        <v>0.15500000000000003</v>
      </c>
      <c r="H107" s="2">
        <v>12600</v>
      </c>
      <c r="I107" s="1">
        <f>H107*G107</f>
        <v>1953.0000000000002</v>
      </c>
      <c r="J107" s="3">
        <f>I107*$D$8/$B$3*(1-EXP(-$B$3*$B$4))</f>
        <v>217.62985763348973</v>
      </c>
      <c r="K107" s="2">
        <v>1800</v>
      </c>
      <c r="L107" s="1">
        <f>G107*K107</f>
        <v>279.00000000000006</v>
      </c>
      <c r="M107" s="3">
        <f>L107*$E$7/$B$3*(1-EXP(-$B$3*duration1))</f>
        <v>31.089979661927103</v>
      </c>
      <c r="N107" s="4">
        <v>0</v>
      </c>
      <c r="O107" s="3">
        <f>N107*G107*(1/$B$3)*(1-EXP(-$B$3*$B$4))</f>
        <v>0</v>
      </c>
      <c r="P107" s="5">
        <f>M107+J107+O107</f>
        <v>248.71983729541682</v>
      </c>
      <c r="Q107" s="5">
        <f>E107*C107*$B$14/$B$3*(1-EXP(-$B$3*$B$4))</f>
        <v>28398.25421754672</v>
      </c>
      <c r="R107" s="1">
        <f>Q107/P107</f>
        <v>114.1776809053502</v>
      </c>
      <c r="S107"/>
      <c r="T107"/>
    </row>
    <row r="108" spans="2:20" ht="12.75">
      <c r="B108" t="s">
        <v>29</v>
      </c>
      <c r="C108">
        <v>283995.1864770444</v>
      </c>
      <c r="D108" s="1">
        <f>'life.exp'!E168</f>
        <v>29.613448527881758</v>
      </c>
      <c r="E108" s="1">
        <f>$B$9</f>
        <v>0</v>
      </c>
      <c r="F108" s="1">
        <f>$C$9</f>
        <v>0.775</v>
      </c>
      <c r="G108" s="1">
        <f>E108*F108</f>
        <v>0</v>
      </c>
      <c r="H108" s="2">
        <v>172800</v>
      </c>
      <c r="I108" s="1">
        <f>H108*G108</f>
        <v>0</v>
      </c>
      <c r="J108" s="3">
        <f>I108*$D$9/$B$3*(1-EXP(-$B$3*$B$4))</f>
        <v>0</v>
      </c>
      <c r="K108" s="2">
        <v>79500</v>
      </c>
      <c r="L108" s="1">
        <f>G108*K108</f>
        <v>0</v>
      </c>
      <c r="M108" s="3">
        <f>L108*$E$7/$B$3*(1-EXP(-$B$3*duration1))</f>
        <v>0</v>
      </c>
      <c r="N108" s="4">
        <v>250</v>
      </c>
      <c r="O108" s="3">
        <f>N108*G108*(1/$B$3)*(1-EXP(-$B$3*$B$4))</f>
        <v>0</v>
      </c>
      <c r="P108" s="5">
        <f>M108+J108+O108</f>
        <v>0</v>
      </c>
      <c r="Q108" s="5">
        <f>E108*C108*$B$14/$B$3*(1-EXP(-$B$3*$B$4))</f>
        <v>0</v>
      </c>
      <c r="R108" s="1" t="e">
        <f>Q108/P108</f>
        <v>#DIV/0!</v>
      </c>
      <c r="S108"/>
      <c r="T108"/>
    </row>
    <row r="109" spans="2:20" ht="12.75">
      <c r="B109" t="s">
        <v>4</v>
      </c>
      <c r="C109" s="1">
        <f>SUM(C106:C108)</f>
        <v>503725.31962123624</v>
      </c>
      <c r="H109" s="2"/>
      <c r="I109" s="4">
        <f>SUM(I106:I108)</f>
        <v>1953.0000000000002</v>
      </c>
      <c r="J109" s="3">
        <f>SUM(J106:J108)</f>
        <v>217.62985763348973</v>
      </c>
      <c r="K109" s="4"/>
      <c r="L109" s="4">
        <f>SUM(L106:L108)</f>
        <v>279.00000000000006</v>
      </c>
      <c r="M109" s="3">
        <f>SUM(M106:M108)</f>
        <v>31.089979661927103</v>
      </c>
      <c r="O109"/>
      <c r="P109" s="5">
        <f>SUM(P106:P108)</f>
        <v>248.71983729541682</v>
      </c>
      <c r="Q109" s="5">
        <f>SUM(Q106:Q108)</f>
        <v>28398.25421754672</v>
      </c>
      <c r="R109" s="1">
        <f>Q109/P109</f>
        <v>114.1776809053502</v>
      </c>
      <c r="S109"/>
      <c r="T109"/>
    </row>
    <row r="110" spans="2:91" ht="12.75">
      <c r="B110" t="s">
        <v>54</v>
      </c>
      <c r="K110" s="4"/>
      <c r="L110" s="4"/>
      <c r="M110" s="4"/>
      <c r="N110" s="4"/>
      <c r="O110" s="4"/>
      <c r="P110" s="5">
        <f>SUM(P103+P109)</f>
        <v>497.43967459083365</v>
      </c>
      <c r="Q110" s="5">
        <f>SUM(Q103+Q109)</f>
        <v>57150.83387937944</v>
      </c>
      <c r="R110" s="1">
        <f>(SUM(Q103+Q109))/(SUM(P103+P109))</f>
        <v>114.88997922489507</v>
      </c>
      <c r="S110" s="3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</row>
    <row r="111" spans="10:90" ht="12.7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</row>
    <row r="112" spans="10:90" ht="12.7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</row>
    <row r="113" spans="10:90" ht="12.75"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</row>
    <row r="114" spans="10:90" ht="12.75"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</row>
    <row r="115" spans="10:90" ht="12.75"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</row>
    <row r="116" spans="10:90" ht="12.75"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</row>
    <row r="117" spans="10:90" ht="12.75"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</row>
    <row r="118" spans="10:90" ht="12.75"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</row>
    <row r="119" spans="10:90" ht="12.75"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</row>
    <row r="120" spans="10:90" ht="12.75"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</row>
    <row r="121" spans="10:90" ht="12.75"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</row>
    <row r="122" spans="10:90" ht="12.75"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</row>
    <row r="123" spans="10:90" ht="12.75"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</row>
    <row r="124" spans="10:90" ht="12.75"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</row>
    <row r="125" spans="10:90" ht="12.75"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</row>
    <row r="126" spans="10:90" ht="12.75"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</row>
    <row r="127" spans="10:90" ht="12.75"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</row>
    <row r="128" spans="10:90" ht="12.75"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</row>
    <row r="129" spans="10:90" ht="12.75"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</row>
    <row r="130" spans="10:90" ht="12.75"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</row>
    <row r="131" spans="10:90" ht="12.75"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</row>
    <row r="132" spans="10:90" ht="12.75"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</row>
    <row r="133" spans="10:90" ht="12.7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</row>
    <row r="134" spans="10:90" ht="12.75"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</row>
    <row r="135" spans="10:90" ht="12.75"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</row>
    <row r="136" spans="10:90" ht="12.75"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</row>
    <row r="137" spans="10:90" ht="12.75"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</row>
    <row r="138" spans="10:90" ht="12.75"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</row>
    <row r="139" spans="10:90" ht="12.75"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</row>
    <row r="140" spans="10:90" ht="12.75"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</row>
    <row r="141" spans="10:90" ht="12.75"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</row>
    <row r="142" spans="10:90" ht="12.75"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</row>
    <row r="143" spans="10:90" ht="12.75"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</row>
    <row r="144" spans="10:90" ht="12.75"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</row>
    <row r="145" spans="10:90" ht="12.75"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</row>
    <row r="146" spans="10:90" ht="12.75"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</row>
    <row r="147" spans="10:90" ht="12.75"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</row>
    <row r="148" spans="10:90" ht="12.75"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</row>
    <row r="149" spans="10:90" ht="12.75"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</row>
    <row r="150" spans="10:90" ht="12.75"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</row>
    <row r="151" spans="10:90" ht="12.75"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</row>
    <row r="152" spans="10:90" ht="12.75"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</row>
    <row r="153" spans="10:90" ht="12.75"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</row>
    <row r="154" spans="10:90" ht="12.75"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</row>
    <row r="155" spans="10:90" ht="12.75"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</row>
    <row r="156" spans="10:90" ht="12.75"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</row>
    <row r="157" spans="10:90" ht="12.75"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</row>
    <row r="158" spans="10:90" ht="12.75"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</row>
    <row r="159" spans="10:90" ht="12.75"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</row>
    <row r="160" spans="10:90" ht="12.75"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</row>
    <row r="161" spans="10:90" ht="12.75"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</row>
    <row r="162" spans="10:90" ht="12.75"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</row>
    <row r="163" spans="10:90" ht="12.75"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</row>
    <row r="164" spans="10:90" ht="12.75"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</row>
    <row r="165" spans="10:90" ht="12.75"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</row>
    <row r="166" spans="10:90" ht="12.75"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</row>
    <row r="167" spans="10:90" ht="12.7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</row>
    <row r="168" spans="10:90" ht="12.75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</row>
    <row r="169" spans="10:90" ht="12.7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</row>
    <row r="170" spans="10:90" ht="12.75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</row>
    <row r="171" spans="10:90" ht="12.75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</row>
    <row r="172" spans="10:90" ht="12.75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</row>
    <row r="173" spans="10:90" ht="12.75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</row>
    <row r="174" spans="10:90" ht="12.75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</row>
    <row r="175" spans="10:90" ht="12.75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</row>
    <row r="176" spans="10:90" ht="12.75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</row>
    <row r="177" spans="10:90" ht="12.75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</row>
    <row r="178" spans="10:90" ht="12.75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</row>
    <row r="179" spans="10:90" ht="12.75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</row>
    <row r="180" spans="10:90" ht="12.75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</row>
    <row r="181" spans="10:90" ht="12.75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</row>
    <row r="182" spans="10:90" ht="12.75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</row>
    <row r="183" spans="10:90" ht="12.75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</row>
    <row r="184" spans="10:90" ht="12.75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</row>
    <row r="185" spans="10:90" ht="12.75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</row>
    <row r="186" spans="10:90" ht="12.75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</row>
    <row r="187" spans="10:90" ht="12.75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</row>
    <row r="188" spans="10:90" ht="12.75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</row>
    <row r="189" spans="10:90" ht="12.75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</row>
    <row r="190" spans="10:90" ht="12.75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</row>
    <row r="191" spans="10:90" ht="12.75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</row>
    <row r="192" spans="10:90" ht="12.75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</row>
    <row r="193" spans="10:90" ht="12.75"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</row>
    <row r="194" spans="10:90" ht="12.75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</row>
    <row r="195" spans="10:90" ht="12.75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</row>
    <row r="196" spans="10:90" ht="12.75"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</row>
    <row r="197" spans="10:90" ht="12.75"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</row>
    <row r="198" spans="10:90" ht="12.75"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</row>
    <row r="199" spans="10:90" ht="12.75"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</row>
    <row r="200" spans="10:90" ht="12.75"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</row>
    <row r="201" spans="10:90" ht="12.75"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</row>
    <row r="202" spans="10:90" ht="12.75"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</row>
    <row r="203" spans="10:90" ht="12.75"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</row>
    <row r="204" spans="10:90" ht="12.75"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</row>
    <row r="205" spans="10:90" ht="12.75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</row>
    <row r="206" spans="10:90" ht="12.75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</row>
    <row r="207" spans="10:90" ht="12.75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</row>
    <row r="208" spans="10:90" ht="12.75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</row>
    <row r="209" spans="10:90" ht="12.75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</row>
    <row r="210" spans="10:90" ht="12.75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</row>
    <row r="211" spans="10:90" ht="12.75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</row>
    <row r="212" spans="10:90" ht="12.75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</row>
    <row r="213" spans="10:90" ht="12.75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</row>
    <row r="214" spans="10:90" ht="12.75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</row>
    <row r="215" spans="10:90" ht="12.75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</row>
    <row r="216" spans="10:90" ht="12.75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</row>
    <row r="217" spans="10:90" ht="12.75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</row>
    <row r="218" spans="10:90" ht="12.75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</row>
    <row r="219" spans="10:90" ht="12.75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</row>
    <row r="220" spans="10:90" ht="12.75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</row>
    <row r="221" spans="10:90" ht="12.75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</row>
    <row r="222" spans="10:90" ht="12.75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</row>
    <row r="223" spans="10:90" ht="12.75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</row>
    <row r="224" spans="10:90" ht="12.75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</row>
    <row r="225" spans="10:90" ht="12.75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</row>
    <row r="226" spans="10:90" ht="12.7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</row>
    <row r="227" spans="10:90" ht="12.7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</row>
    <row r="228" spans="10:90" ht="12.7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</row>
    <row r="229" spans="10:90" ht="12.7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</row>
    <row r="230" spans="10:90" ht="12.7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</row>
    <row r="231" spans="10:90" ht="12.7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</row>
    <row r="232" spans="10:90" ht="12.7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</row>
    <row r="233" spans="10:90" ht="12.7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</row>
    <row r="234" spans="10:90" ht="12.7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</row>
    <row r="235" spans="10:90" ht="12.7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</row>
    <row r="236" spans="10:90" ht="12.7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</row>
    <row r="237" spans="10:90" ht="12.7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</row>
    <row r="238" spans="10:90" ht="12.7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J160"/>
  <sheetViews>
    <sheetView zoomScale="75" zoomScaleNormal="75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P38" sqref="P38"/>
    </sheetView>
  </sheetViews>
  <sheetFormatPr defaultColWidth="9.140625" defaultRowHeight="12.75"/>
  <cols>
    <col min="1" max="1" width="22.00390625" style="0" customWidth="1"/>
    <col min="2" max="2" width="11.140625" style="0" customWidth="1"/>
    <col min="3" max="3" width="31.57421875" style="0" customWidth="1"/>
    <col min="4" max="4" width="29.57421875" style="0" customWidth="1"/>
    <col min="5" max="5" width="16.140625" style="0" customWidth="1"/>
    <col min="6" max="6" width="18.7109375" style="0" customWidth="1"/>
    <col min="7" max="8" width="13.140625" style="0" customWidth="1"/>
    <col min="9" max="11" width="18.140625" style="0" customWidth="1"/>
    <col min="12" max="12" width="16.28125" style="0" customWidth="1"/>
    <col min="13" max="13" width="13.140625" style="3" customWidth="1"/>
    <col min="14" max="14" width="16.28125" style="0" customWidth="1"/>
    <col min="15" max="15" width="21.421875" style="0" customWidth="1"/>
    <col min="16" max="16" width="20.57421875" style="3" customWidth="1"/>
    <col min="17" max="17" width="17.8515625" style="5" customWidth="1"/>
    <col min="18" max="18" width="20.00390625" style="5" customWidth="1"/>
    <col min="19" max="19" width="19.7109375" style="0" customWidth="1"/>
    <col min="20" max="20" width="16.8515625" style="0" customWidth="1"/>
  </cols>
  <sheetData>
    <row r="1" spans="1:18" ht="12.75">
      <c r="A1" s="6" t="s">
        <v>16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7" t="s">
        <v>17</v>
      </c>
      <c r="B2" t="s">
        <v>55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7" t="s">
        <v>19</v>
      </c>
      <c r="B3">
        <v>0.03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>
      <c r="A4" t="s">
        <v>20</v>
      </c>
      <c r="B4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6:18" ht="12.75"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9" ht="12.75">
      <c r="A6" t="s">
        <v>21</v>
      </c>
      <c r="B6" t="s">
        <v>22</v>
      </c>
      <c r="C6" t="s">
        <v>56</v>
      </c>
      <c r="D6" t="s">
        <v>57</v>
      </c>
      <c r="E6" t="s">
        <v>58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4" t="s">
        <v>27</v>
      </c>
      <c r="B7">
        <v>0</v>
      </c>
      <c r="C7">
        <v>0.578</v>
      </c>
      <c r="D7">
        <v>0.479</v>
      </c>
      <c r="E7">
        <v>0.005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2.75">
      <c r="A8" s="4" t="s">
        <v>28</v>
      </c>
      <c r="B8">
        <v>0.2</v>
      </c>
      <c r="C8">
        <v>0.578</v>
      </c>
      <c r="D8">
        <v>0.479</v>
      </c>
      <c r="E8">
        <v>0.005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2.75">
      <c r="A9" t="s">
        <v>29</v>
      </c>
      <c r="B9">
        <v>0</v>
      </c>
      <c r="C9">
        <v>0.578</v>
      </c>
      <c r="D9">
        <v>0.479</v>
      </c>
      <c r="E9">
        <v>0.006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6:18" ht="12.75"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t="s">
        <v>30</v>
      </c>
      <c r="D11" s="12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t="s">
        <v>31</v>
      </c>
      <c r="B12">
        <v>0.4375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>
      <c r="A13" t="s">
        <v>32</v>
      </c>
      <c r="B13">
        <v>0.1045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>
      <c r="A14" t="s">
        <v>4</v>
      </c>
      <c r="B14" s="1">
        <f>SUM(B12:B13)</f>
        <v>0.542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4:18" ht="12.75">
      <c r="D15" s="4"/>
      <c r="E15" s="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4:18" ht="12.7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4:18" ht="12.75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4:18" ht="12.7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4:18" ht="12.7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ht="12.75">
      <c r="A20" s="6" t="s">
        <v>12</v>
      </c>
      <c r="E20" s="3"/>
      <c r="F20" s="14" t="s">
        <v>59</v>
      </c>
      <c r="G20" s="14" t="s">
        <v>60</v>
      </c>
      <c r="H20" s="15" t="s">
        <v>61</v>
      </c>
      <c r="I20" s="14"/>
      <c r="J20" s="14"/>
      <c r="K20" s="15"/>
      <c r="M20"/>
      <c r="O20" s="5"/>
      <c r="P20" s="4"/>
      <c r="Q20" s="3"/>
      <c r="R20" s="4" t="s">
        <v>62</v>
      </c>
      <c r="T20" t="s">
        <v>63</v>
      </c>
    </row>
    <row r="21" spans="1:20" ht="12.75">
      <c r="A21" s="13" t="s">
        <v>52</v>
      </c>
      <c r="B21" t="s">
        <v>21</v>
      </c>
      <c r="C21" t="s">
        <v>33</v>
      </c>
      <c r="D21" t="s">
        <v>34</v>
      </c>
      <c r="E21" s="3" t="s">
        <v>22</v>
      </c>
      <c r="F21" s="4" t="s">
        <v>64</v>
      </c>
      <c r="G21" s="4" t="s">
        <v>64</v>
      </c>
      <c r="H21" s="10" t="s">
        <v>64</v>
      </c>
      <c r="I21" s="9" t="s">
        <v>65</v>
      </c>
      <c r="J21" s="9" t="s">
        <v>66</v>
      </c>
      <c r="K21" s="10" t="s">
        <v>67</v>
      </c>
      <c r="L21" s="9" t="s">
        <v>45</v>
      </c>
      <c r="M21" s="9" t="s">
        <v>46</v>
      </c>
      <c r="N21" s="3" t="s">
        <v>47</v>
      </c>
      <c r="O21" s="11" t="s">
        <v>48</v>
      </c>
      <c r="P21" s="9" t="s">
        <v>49</v>
      </c>
      <c r="Q21" s="10" t="s">
        <v>50</v>
      </c>
      <c r="R21" s="9" t="s">
        <v>68</v>
      </c>
      <c r="S21" s="9" t="s">
        <v>69</v>
      </c>
      <c r="T21" s="9" t="s">
        <v>70</v>
      </c>
    </row>
    <row r="22" spans="2:20" ht="12.75">
      <c r="B22" s="4" t="s">
        <v>27</v>
      </c>
      <c r="C22">
        <v>85547.2543201574</v>
      </c>
      <c r="D22" s="1">
        <f>'life.exp'!E154</f>
        <v>47.2</v>
      </c>
      <c r="E22" s="3">
        <f>$B$7</f>
        <v>0</v>
      </c>
      <c r="F22" s="4">
        <f>'schisto.prev'!$B$10</f>
        <v>0.13626402837653595</v>
      </c>
      <c r="G22" s="4">
        <f>'schisto.prev'!$C$10</f>
        <v>0.0448745889133142</v>
      </c>
      <c r="H22" s="3">
        <f>F22+G22+F22*G22</f>
        <v>0.18725340954691938</v>
      </c>
      <c r="I22" s="4">
        <f>H22-(F22*(1-$C$7)+G22*(1-$D$7)-F22*G22*(1-$C$7)*(1-$D$7))</f>
        <v>0.10771473920340825</v>
      </c>
      <c r="J22" s="4">
        <f>C22*E22*I22</f>
        <v>0</v>
      </c>
      <c r="K22" s="3">
        <f>J22*($E$7/discount.rate)*(1-EXP(-discount.rate*duration))</f>
        <v>0</v>
      </c>
      <c r="L22" s="4">
        <f>'schisto.mort'!D4</f>
        <v>4.804873599507194E-07</v>
      </c>
      <c r="M22" s="4">
        <f>L22*C22*E22</f>
        <v>0</v>
      </c>
      <c r="N22" s="3">
        <f>(I22/H22)*L22*C22*E22*(1/discount.rate)*(1-EXP(-discount.rate*duration))</f>
        <v>0</v>
      </c>
      <c r="O22" s="5">
        <f>N22+K22</f>
        <v>0</v>
      </c>
      <c r="P22" s="4">
        <f>E22*C22*$B$14/$B$3*(1-EXP(-$B$3*$B$4))</f>
        <v>0</v>
      </c>
      <c r="Q22" s="3" t="e">
        <f>P22/O22</f>
        <v>#DIV/0!</v>
      </c>
      <c r="R22" s="4">
        <f>ascariasis!X67+(C23*E23+C29*E29)*B12</f>
        <v>81031.6458803962</v>
      </c>
      <c r="S22" s="1">
        <f>O32+hookworm!P110+trichuriasis!T67+ascariasis!W67</f>
        <v>6007.256956350162</v>
      </c>
      <c r="T22" s="1">
        <f>R22/S22</f>
        <v>13.488959514997793</v>
      </c>
    </row>
    <row r="23" spans="2:18" ht="12.75">
      <c r="B23" s="4" t="s">
        <v>28</v>
      </c>
      <c r="C23">
        <v>137307.8226940257</v>
      </c>
      <c r="D23" s="1">
        <f>'life.exp'!E155</f>
        <v>44.4</v>
      </c>
      <c r="E23" s="3">
        <f>$B$8</f>
        <v>0.2</v>
      </c>
      <c r="F23" s="4">
        <f>'schisto.prev'!$E$14</f>
        <v>0.2288741246625732</v>
      </c>
      <c r="G23" s="4">
        <f>'schisto.prev'!$F$14</f>
        <v>0.10366590998774916</v>
      </c>
      <c r="H23" s="3">
        <f>F23+G23+F23*G23</f>
        <v>0.3562664790561175</v>
      </c>
      <c r="I23" s="4">
        <f>H23-(F23*(1-$C$8)+G23*(1-$D$8)-F23*G23*(1-$C$8)*(1-$D$8))</f>
        <v>0.21088820286484122</v>
      </c>
      <c r="J23" s="4">
        <f>C23*E23*I23</f>
        <v>5791.319993445469</v>
      </c>
      <c r="K23" s="3">
        <f>J23*($E$7/discount.rate)*(1-EXP(-discount.rate*duration))</f>
        <v>134.44744684284007</v>
      </c>
      <c r="L23" s="4">
        <f>'schisto.mort'!D5</f>
        <v>2.484051721295936E-07</v>
      </c>
      <c r="M23" s="4">
        <f>L23*C23*E23</f>
        <v>0.006821594666209835</v>
      </c>
      <c r="N23" s="3">
        <f>(I23/H23)*L23*C23*E23*(1/discount.rate)*(1-EXP(-discount.rate*duration))</f>
        <v>0.018748573407109375</v>
      </c>
      <c r="O23" s="5">
        <f>N23+K23</f>
        <v>134.4661954162472</v>
      </c>
      <c r="P23" s="4">
        <f>E23*C23*$B$14/$B$3*(1-EXP(-$B$3*$B$4))</f>
        <v>69108.19590560238</v>
      </c>
      <c r="Q23" s="3">
        <f>P23/O23</f>
        <v>513.9447553466827</v>
      </c>
      <c r="R23" s="4"/>
    </row>
    <row r="24" spans="2:18" ht="12.75">
      <c r="B24" t="s">
        <v>29</v>
      </c>
      <c r="C24">
        <v>273419.6033645808</v>
      </c>
      <c r="D24" s="1">
        <f>'life.exp'!E156</f>
        <v>28.50356521267218</v>
      </c>
      <c r="E24" s="3">
        <f>$B$9</f>
        <v>0</v>
      </c>
      <c r="F24" s="4">
        <f>'schisto.prev'!$E$18</f>
        <v>0.14347733027225365</v>
      </c>
      <c r="G24" s="4">
        <f>'schisto.prev'!$F$18</f>
        <v>0.08742031084884612</v>
      </c>
      <c r="H24" s="3">
        <f>F24+G24+F24*G24</f>
        <v>0.24344047393326276</v>
      </c>
      <c r="I24" s="4">
        <f>H24-(F24*(1-$C$9)+G24*(1-$D$9)-F24*G24*(1-$C$9)*(1-$D$9))</f>
        <v>0.14010475091387067</v>
      </c>
      <c r="J24" s="4">
        <f>C24*E24*I24</f>
        <v>0</v>
      </c>
      <c r="K24" s="3">
        <f>J24*($E$7/discount.rate)*(1-EXP(-discount.rate*duration))</f>
        <v>0</v>
      </c>
      <c r="L24" s="4">
        <f>'schisto.mort'!D13</f>
        <v>5.149234181365049E-05</v>
      </c>
      <c r="M24" s="4">
        <f>L24*C24*E24</f>
        <v>0</v>
      </c>
      <c r="N24" s="3">
        <f>(I24/H24)*L24*C24*E24*(1/discount.rate)*(1-EXP(-discount.rate*duration))</f>
        <v>0</v>
      </c>
      <c r="O24" s="5">
        <f>N24+K24</f>
        <v>0</v>
      </c>
      <c r="P24" s="4">
        <f>E24*C24*$B$14/$B$3*(1-EXP(-$B$3*$B$4))</f>
        <v>0</v>
      </c>
      <c r="Q24" s="3" t="e">
        <f>P24/O24</f>
        <v>#DIV/0!</v>
      </c>
      <c r="R24" s="4"/>
    </row>
    <row r="25" spans="2:18" ht="12.75">
      <c r="B25" t="s">
        <v>4</v>
      </c>
      <c r="C25" s="1">
        <f>SUM(C22:C24)</f>
        <v>496274.6803787639</v>
      </c>
      <c r="E25" s="3"/>
      <c r="F25" s="4"/>
      <c r="G25" s="4"/>
      <c r="H25" s="3"/>
      <c r="I25" s="4"/>
      <c r="J25" s="4"/>
      <c r="K25" s="3"/>
      <c r="M25" s="1">
        <f>SUM(M22:M24)</f>
        <v>0.006821594666209835</v>
      </c>
      <c r="N25" s="5">
        <f>SUM(N22:N24)</f>
        <v>0.018748573407109375</v>
      </c>
      <c r="O25" s="5">
        <f>SUM(O22:O24)</f>
        <v>134.4661954162472</v>
      </c>
      <c r="P25" s="4">
        <f>SUM(P22:P24)</f>
        <v>69108.19590560238</v>
      </c>
      <c r="Q25" s="3">
        <f>P25/O25</f>
        <v>513.9447553466827</v>
      </c>
      <c r="R25" s="4"/>
    </row>
    <row r="26" spans="5:18" ht="12.75">
      <c r="E26" s="3"/>
      <c r="F26" s="4"/>
      <c r="G26" s="4"/>
      <c r="H26" s="3"/>
      <c r="I26" s="4"/>
      <c r="J26" s="4"/>
      <c r="K26" s="3"/>
      <c r="M26"/>
      <c r="O26" s="5"/>
      <c r="P26" s="4"/>
      <c r="Q26" s="3"/>
      <c r="R26" s="4"/>
    </row>
    <row r="27" spans="1:18" ht="12.75">
      <c r="A27" s="13" t="s">
        <v>53</v>
      </c>
      <c r="B27" t="s">
        <v>21</v>
      </c>
      <c r="C27" t="s">
        <v>33</v>
      </c>
      <c r="D27" t="s">
        <v>34</v>
      </c>
      <c r="E27" s="3" t="s">
        <v>22</v>
      </c>
      <c r="F27" s="4" t="s">
        <v>64</v>
      </c>
      <c r="G27" s="4" t="s">
        <v>64</v>
      </c>
      <c r="H27" s="10" t="s">
        <v>64</v>
      </c>
      <c r="I27" s="9" t="s">
        <v>65</v>
      </c>
      <c r="J27" s="9" t="s">
        <v>66</v>
      </c>
      <c r="K27" s="10" t="s">
        <v>67</v>
      </c>
      <c r="L27" s="9" t="s">
        <v>45</v>
      </c>
      <c r="M27" s="9" t="s">
        <v>46</v>
      </c>
      <c r="N27" s="3" t="s">
        <v>47</v>
      </c>
      <c r="O27" s="11" t="s">
        <v>48</v>
      </c>
      <c r="P27" s="9" t="s">
        <v>49</v>
      </c>
      <c r="Q27" s="10" t="s">
        <v>50</v>
      </c>
      <c r="R27" s="4"/>
    </row>
    <row r="28" spans="2:18" ht="12.75">
      <c r="B28" s="4" t="s">
        <v>27</v>
      </c>
      <c r="C28">
        <v>84114.3901123115</v>
      </c>
      <c r="D28" s="1">
        <f>'life.exp'!E166</f>
        <v>48.47333333333333</v>
      </c>
      <c r="E28" s="3">
        <f>$B$7</f>
        <v>0</v>
      </c>
      <c r="F28" s="4">
        <f>'schisto.prev'!$B$10</f>
        <v>0.13626402837653595</v>
      </c>
      <c r="G28" s="4">
        <f>'schisto.prev'!$C$10</f>
        <v>0.0448745889133142</v>
      </c>
      <c r="H28" s="3">
        <f>F28+G28+F28*G28</f>
        <v>0.18725340954691938</v>
      </c>
      <c r="I28" s="4">
        <f>H28-(F28*(1-$C$7)+G28*(1-$D$7)-F28*G28*(1-$C$7)*(1-$D$7))</f>
        <v>0.10771473920340825</v>
      </c>
      <c r="J28" s="4">
        <f>C28*E28*I28</f>
        <v>0</v>
      </c>
      <c r="K28" s="3">
        <f>J28*($E$7/discount.rate)*(1-EXP(-discount.rate*duration))</f>
        <v>0</v>
      </c>
      <c r="L28" s="4">
        <f>'schisto.mort'!G4</f>
        <v>1.9796914518164938E-07</v>
      </c>
      <c r="M28" s="4">
        <f>L28*C28*E28</f>
        <v>0</v>
      </c>
      <c r="N28" s="3">
        <f>(I28/H28)*L28*C28*E28*(1/discount.rate)*(1-EXP(-discount.rate*duration))</f>
        <v>0</v>
      </c>
      <c r="O28" s="5">
        <f>N28+K28</f>
        <v>0</v>
      </c>
      <c r="P28" s="4">
        <f>E28*C28*$B$14/$B$3*(1-EXP(-$B$3*$B$4))</f>
        <v>0</v>
      </c>
      <c r="Q28" s="3" t="e">
        <f>P28/O28</f>
        <v>#DIV/0!</v>
      </c>
      <c r="R28" s="4"/>
    </row>
    <row r="29" spans="2:18" ht="12.75">
      <c r="B29" s="4" t="s">
        <v>28</v>
      </c>
      <c r="C29">
        <v>135615.74303188027</v>
      </c>
      <c r="D29" s="1">
        <f>'life.exp'!E167</f>
        <v>45.55</v>
      </c>
      <c r="E29" s="3">
        <f>$B$8</f>
        <v>0.2</v>
      </c>
      <c r="F29" s="4">
        <f>'schisto.prev'!$E$14</f>
        <v>0.2288741246625732</v>
      </c>
      <c r="G29" s="4">
        <f>'schisto.prev'!$F$14</f>
        <v>0.10366590998774916</v>
      </c>
      <c r="H29" s="3">
        <f>F29+G29+F29*G29</f>
        <v>0.3562664790561175</v>
      </c>
      <c r="I29" s="4">
        <f>H29-(F29*(1-$C$8)+G29*(1-$D$8)-F29*G29*(1-$C$8)*(1-$D$8))</f>
        <v>0.21088820286484122</v>
      </c>
      <c r="J29" s="4">
        <f>C29*E29*I29</f>
        <v>5719.9520656346685</v>
      </c>
      <c r="K29" s="3">
        <f>J29*($E$7/discount.rate)*(1-EXP(-discount.rate*duration))</f>
        <v>132.79061632898728</v>
      </c>
      <c r="L29" s="4">
        <f>'schisto.mort'!G5</f>
        <v>4.542055079184141E-07</v>
      </c>
      <c r="M29" s="4">
        <f>L29*C29*E29</f>
        <v>0.012319483489105661</v>
      </c>
      <c r="N29" s="3">
        <f>(I29/H29)*L29*C29*E29*(1/discount.rate)*(1-EXP(-discount.rate*duration))</f>
        <v>0.033859053760152656</v>
      </c>
      <c r="O29" s="5">
        <f>N29+K29</f>
        <v>132.82447538274744</v>
      </c>
      <c r="P29" s="4">
        <f>E29*C29*$B$14/$B$3*(1-EXP(-$B$3*$B$4))</f>
        <v>68256.55780891496</v>
      </c>
      <c r="Q29" s="3">
        <f>P29/O29</f>
        <v>513.8853935784549</v>
      </c>
      <c r="R29" s="4"/>
    </row>
    <row r="30" spans="2:18" ht="12.75">
      <c r="B30" t="s">
        <v>29</v>
      </c>
      <c r="C30">
        <v>283995.1864770444</v>
      </c>
      <c r="D30" s="1">
        <f>'life.exp'!E168</f>
        <v>29.613448527881758</v>
      </c>
      <c r="E30" s="3">
        <f>$B$9</f>
        <v>0</v>
      </c>
      <c r="F30" s="4">
        <f>'schisto.prev'!$E$18</f>
        <v>0.14347733027225365</v>
      </c>
      <c r="G30" s="4">
        <f>'schisto.prev'!$F$18</f>
        <v>0.08742031084884612</v>
      </c>
      <c r="H30" s="3">
        <f>F30+G30+F30*G30</f>
        <v>0.24344047393326276</v>
      </c>
      <c r="I30" s="4">
        <f>H30-(F30*(1-$C$9)+G30*(1-$D$9)-F30*G30*(1-$C$9)*(1-$D$9))</f>
        <v>0.14010475091387067</v>
      </c>
      <c r="J30" s="4">
        <f>C30*E30*I30</f>
        <v>0</v>
      </c>
      <c r="K30" s="3">
        <f>J30*($E$7/discount.rate)*(1-EXP(-discount.rate*duration))</f>
        <v>0</v>
      </c>
      <c r="L30" s="4">
        <f>'schisto.mort'!G13</f>
        <v>2.60882109648209E-05</v>
      </c>
      <c r="M30" s="4">
        <f>L30*C30*E30</f>
        <v>0</v>
      </c>
      <c r="N30" s="3">
        <f>(I30/H30)*L30*C30*E30*(1/discount.rate)*(1-EXP(-discount.rate*duration))</f>
        <v>0</v>
      </c>
      <c r="O30" s="5">
        <f>N30+K30</f>
        <v>0</v>
      </c>
      <c r="P30" s="4">
        <f>E30*C30*$B$14/$B$3*(1-EXP(-$B$3*$B$4))</f>
        <v>0</v>
      </c>
      <c r="Q30" s="3" t="e">
        <f>P30/O30</f>
        <v>#DIV/0!</v>
      </c>
      <c r="R30" s="4"/>
    </row>
    <row r="31" spans="2:18" ht="12.75">
      <c r="B31" t="s">
        <v>4</v>
      </c>
      <c r="C31" s="1">
        <f>SUM(C28:C30)</f>
        <v>503725.31962123624</v>
      </c>
      <c r="F31" s="4"/>
      <c r="G31" s="4"/>
      <c r="H31" s="4"/>
      <c r="M31" s="1">
        <f>SUM(M28:M30)</f>
        <v>0.012319483489105661</v>
      </c>
      <c r="N31" s="5">
        <f>SUM(N28:N30)</f>
        <v>0.033859053760152656</v>
      </c>
      <c r="O31" s="5">
        <f>SUM(O28:O30)</f>
        <v>132.82447538274744</v>
      </c>
      <c r="P31" s="4">
        <f>SUM(P28:P30)</f>
        <v>68256.55780891496</v>
      </c>
      <c r="Q31" s="3">
        <f>P31/O31</f>
        <v>513.8853935784549</v>
      </c>
      <c r="R31" s="4"/>
    </row>
    <row r="32" spans="2:17" s="14" customFormat="1" ht="12.75">
      <c r="B32" s="14" t="s">
        <v>54</v>
      </c>
      <c r="M32" s="14">
        <f>M25+M31</f>
        <v>0.019141078155315495</v>
      </c>
      <c r="N32" s="14">
        <f>N25+N31</f>
        <v>0.05260762716726203</v>
      </c>
      <c r="O32" s="14">
        <f>O25+O31</f>
        <v>267.2906707989946</v>
      </c>
      <c r="P32" s="14">
        <f>P25+P31</f>
        <v>137364.75371451734</v>
      </c>
      <c r="Q32" s="16">
        <f>P32/O32</f>
        <v>513.9152567648614</v>
      </c>
    </row>
    <row r="33" spans="9:88" ht="12.75"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</row>
    <row r="34" spans="9:88" ht="12.75"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</row>
    <row r="35" spans="9:88" ht="12.75"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</row>
    <row r="36" spans="9:88" ht="12.75"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</row>
    <row r="37" spans="9:88" ht="12.75"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</row>
    <row r="38" spans="9:88" ht="12.75"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</row>
    <row r="39" spans="9:88" ht="12.75"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</row>
    <row r="40" spans="9:88" ht="12.75"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</row>
    <row r="41" spans="9:88" ht="12.75"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</row>
    <row r="42" spans="9:88" ht="12.75"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</row>
    <row r="43" spans="9:88" ht="12.75"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</row>
    <row r="44" spans="9:88" ht="12.75"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</row>
    <row r="45" spans="9:88" ht="12.75"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</row>
    <row r="46" spans="9:88" ht="12.75"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</row>
    <row r="47" spans="9:88" ht="12.75"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</row>
    <row r="48" spans="9:88" ht="12.75"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</row>
    <row r="49" spans="9:88" ht="12.75"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</row>
    <row r="50" spans="9:88" ht="12.75"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</row>
    <row r="51" spans="9:88" ht="12.75"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</row>
    <row r="52" spans="9:88" ht="12.75"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9:88" ht="12.75"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pans="9:88" ht="12.75"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</row>
    <row r="55" spans="9:88" ht="12.75"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</row>
    <row r="56" spans="9:88" ht="12.75"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9:88" ht="12.75"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9:88" ht="12.75"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9:88" ht="12.75"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9:88" ht="12.75"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9:88" ht="12.75"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9:88" ht="12.75"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9:88" ht="12.75"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</row>
    <row r="64" spans="9:88" ht="12.75"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</row>
    <row r="65" spans="9:88" ht="12.75"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</row>
    <row r="66" spans="9:88" ht="12.75"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</row>
    <row r="67" spans="9:88" ht="12.75"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</row>
    <row r="68" spans="9:88" ht="12.75"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</row>
    <row r="69" spans="9:88" ht="12.75"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</row>
    <row r="70" spans="9:88" ht="12.75"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</row>
    <row r="71" spans="9:88" ht="12.75"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</row>
    <row r="72" spans="9:88" ht="12.75"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</row>
    <row r="73" spans="9:88" ht="12.75"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</row>
    <row r="74" spans="9:88" ht="12.75"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</row>
    <row r="75" spans="9:88" ht="12.75"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</row>
    <row r="76" spans="9:88" ht="12.75"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</row>
    <row r="77" spans="9:88" ht="12.75"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</row>
    <row r="78" spans="9:88" ht="12.75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</row>
    <row r="79" spans="9:88" ht="12.75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</row>
    <row r="80" spans="9:88" ht="12.75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</row>
    <row r="81" spans="9:88" ht="12.75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</row>
    <row r="82" spans="9:88" ht="12.75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</row>
    <row r="83" spans="9:88" ht="12.75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</row>
    <row r="84" spans="9:88" ht="12.75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</row>
    <row r="85" spans="9:88" ht="12.75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</row>
    <row r="86" spans="9:88" ht="12.75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</row>
    <row r="87" spans="9:88" ht="12.75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</row>
    <row r="88" spans="9:88" ht="12.75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</row>
    <row r="89" spans="9:88" ht="12.75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</row>
    <row r="90" spans="9:88" ht="12.75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</row>
    <row r="91" spans="9:88" ht="12.75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</row>
    <row r="92" spans="9:88" ht="12.75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</row>
    <row r="93" spans="9:88" ht="12.75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</row>
    <row r="94" spans="9:88" ht="12.75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</row>
    <row r="95" spans="9:88" ht="12.75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</row>
    <row r="96" spans="9:88" ht="12.75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</row>
    <row r="97" spans="9:88" ht="12.75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</row>
    <row r="98" spans="9:88" ht="12.75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</row>
    <row r="99" spans="9:88" ht="12.75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</row>
    <row r="100" spans="9:88" ht="12.75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9:88" ht="12.75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9:88" ht="12.75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9:88" ht="12.75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9:88" ht="12.75"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9:88" ht="12.75"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  <row r="106" spans="9:88" ht="12.75"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9:88" ht="12.75"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</row>
    <row r="108" spans="9:88" ht="12.75"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</row>
    <row r="109" spans="9:88" ht="12.75"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</row>
    <row r="110" spans="9:88" ht="12.75"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</row>
    <row r="111" spans="9:88" ht="12.75"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</row>
    <row r="112" spans="9:88" ht="12.75"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</row>
    <row r="113" spans="9:88" ht="12.75"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</row>
    <row r="114" spans="9:88" ht="12.75"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</row>
    <row r="115" spans="9:88" ht="12.75"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</row>
    <row r="116" spans="9:88" ht="12.75"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</row>
    <row r="117" spans="9:88" ht="12.75"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</row>
    <row r="118" spans="9:88" ht="12.75"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</row>
    <row r="119" spans="9:88" ht="12.75"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</row>
    <row r="120" spans="9:88" ht="12.75"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</row>
    <row r="121" spans="9:88" ht="12.75"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</row>
    <row r="122" spans="9:88" ht="12.75"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</row>
    <row r="123" spans="9:88" ht="12.75"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</row>
    <row r="124" spans="9:88" ht="12.75"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</row>
    <row r="125" spans="9:88" ht="12.75"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</row>
    <row r="126" spans="9:88" ht="12.75"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</row>
    <row r="127" spans="9:88" ht="12.75"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</row>
    <row r="128" spans="9:88" ht="12.75"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</row>
    <row r="129" spans="9:88" ht="12.75"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</row>
    <row r="130" spans="9:88" ht="12.75"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</row>
    <row r="131" spans="9:88" ht="12.75"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</row>
    <row r="132" spans="9:88" ht="12.75"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</row>
    <row r="133" spans="9:88" ht="12.75"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</row>
    <row r="134" spans="9:88" ht="12.75"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</row>
    <row r="135" spans="9:88" ht="12.75"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</row>
    <row r="136" spans="9:88" ht="12.75"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</row>
    <row r="137" spans="9:88" ht="12.75"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</row>
    <row r="138" spans="9:88" ht="12.75"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</row>
    <row r="139" spans="9:88" ht="12.75"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</row>
    <row r="140" spans="9:88" ht="12.75"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</row>
    <row r="141" spans="9:88" ht="12.75"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</row>
    <row r="142" spans="9:88" ht="12.75"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</row>
    <row r="143" spans="9:88" ht="12.75"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</row>
    <row r="144" spans="9:88" ht="12.75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</row>
    <row r="145" spans="9:88" ht="12.75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</row>
    <row r="146" spans="9:88" ht="12.75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</row>
    <row r="147" spans="9:88" ht="12.75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</row>
    <row r="148" spans="9:88" ht="12.75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</row>
    <row r="149" spans="9:88" ht="12.75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</row>
    <row r="150" spans="9:88" ht="12.75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</row>
    <row r="151" spans="9:88" ht="12.7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</row>
    <row r="152" spans="9:88" ht="12.7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</row>
    <row r="153" spans="9:88" ht="12.7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</row>
    <row r="154" spans="9:88" ht="12.7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</row>
    <row r="155" spans="9:88" ht="12.7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</row>
    <row r="156" spans="9:88" ht="12.7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</row>
    <row r="157" spans="9:88" ht="12.7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</row>
    <row r="158" spans="9:88" ht="12.7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</row>
    <row r="159" spans="9:88" ht="12.7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</row>
    <row r="160" spans="9:88" ht="12.7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D2" sqref="D2"/>
    </sheetView>
  </sheetViews>
  <sheetFormatPr defaultColWidth="9.140625" defaultRowHeight="12.75"/>
  <cols>
    <col min="3" max="3" width="9.8515625" style="0" customWidth="1"/>
    <col min="4" max="4" width="12.421875" style="0" customWidth="1"/>
  </cols>
  <sheetData>
    <row r="1" ht="12.75">
      <c r="A1" s="6" t="s">
        <v>71</v>
      </c>
    </row>
    <row r="2" ht="12.75">
      <c r="A2" s="6" t="s">
        <v>72</v>
      </c>
    </row>
    <row r="3" ht="12.75">
      <c r="A3" s="6"/>
    </row>
    <row r="4" spans="1:11" ht="12.75">
      <c r="A4" t="s">
        <v>73</v>
      </c>
      <c r="D4" t="s">
        <v>27</v>
      </c>
      <c r="E4" t="s">
        <v>28</v>
      </c>
      <c r="F4" t="s">
        <v>74</v>
      </c>
      <c r="G4" t="s">
        <v>75</v>
      </c>
      <c r="H4" t="s">
        <v>76</v>
      </c>
      <c r="I4" t="s">
        <v>77</v>
      </c>
      <c r="J4" t="s">
        <v>78</v>
      </c>
      <c r="K4" t="s">
        <v>79</v>
      </c>
    </row>
    <row r="5" spans="1:11" ht="12.75">
      <c r="A5" t="s">
        <v>80</v>
      </c>
      <c r="B5">
        <v>5221572.489004923</v>
      </c>
      <c r="C5" t="s">
        <v>52</v>
      </c>
      <c r="D5">
        <v>288542.30848217005</v>
      </c>
      <c r="E5">
        <v>563533.4594480197</v>
      </c>
      <c r="F5">
        <v>712483.352687197</v>
      </c>
      <c r="G5">
        <v>545730.3449254156</v>
      </c>
      <c r="H5">
        <v>326641.80537363654</v>
      </c>
      <c r="I5">
        <v>124177.35266161102</v>
      </c>
      <c r="J5">
        <v>61357.00497429729</v>
      </c>
      <c r="K5">
        <v>14804.195515845142</v>
      </c>
    </row>
    <row r="6" spans="3:11" ht="12.75">
      <c r="C6" t="s">
        <v>81</v>
      </c>
      <c r="D6" s="1">
        <f>D5/$B$5</f>
        <v>0.05525965771609113</v>
      </c>
      <c r="E6" s="1">
        <f>E5/$B$5</f>
        <v>0.10792409003890177</v>
      </c>
      <c r="F6" s="1">
        <f>F5/$B$5</f>
        <v>0.13644995912389896</v>
      </c>
      <c r="G6" s="1">
        <f>G5/$B$5</f>
        <v>0.10451455879901336</v>
      </c>
      <c r="H6" s="1">
        <f>H5/$B$5</f>
        <v>0.06255621387263069</v>
      </c>
      <c r="I6" s="1">
        <f>I5/$B$5</f>
        <v>0.023781600834440496</v>
      </c>
      <c r="J6" s="1">
        <f>J5/$B$5</f>
        <v>0.011750675702290235</v>
      </c>
      <c r="K6" s="1">
        <f>K5/$B$5</f>
        <v>0.0028351986967562683</v>
      </c>
    </row>
    <row r="7" spans="3:11" ht="12.75">
      <c r="C7" t="s">
        <v>82</v>
      </c>
      <c r="D7" s="1">
        <f>D6*1000000</f>
        <v>55259.657716091126</v>
      </c>
      <c r="E7" s="1">
        <f>E6*1000000</f>
        <v>107924.09003890178</v>
      </c>
      <c r="F7" s="1">
        <f>F6*1000000</f>
        <v>136449.95912389897</v>
      </c>
      <c r="G7" s="1">
        <f>G6*1000000</f>
        <v>104514.55879901336</v>
      </c>
      <c r="H7" s="1">
        <f>H6*1000000</f>
        <v>62556.21387263069</v>
      </c>
      <c r="I7" s="1">
        <f>I6*1000000</f>
        <v>23781.600834440495</v>
      </c>
      <c r="J7" s="1">
        <f>J6*1000000</f>
        <v>11750.675702290235</v>
      </c>
      <c r="K7" s="1">
        <f>K6*1000000</f>
        <v>2835.1986967562684</v>
      </c>
    </row>
    <row r="8" spans="3:11" ht="12.75">
      <c r="C8" t="s">
        <v>53</v>
      </c>
      <c r="D8">
        <v>273872.6742338778</v>
      </c>
      <c r="E8">
        <v>533063.8009830508</v>
      </c>
      <c r="F8">
        <v>682001.9018406873</v>
      </c>
      <c r="G8">
        <v>530066.2347614535</v>
      </c>
      <c r="H8">
        <v>325975.5788211664</v>
      </c>
      <c r="I8">
        <v>135617.53604277747</v>
      </c>
      <c r="J8">
        <v>78446.46519332378</v>
      </c>
      <c r="K8">
        <v>25258.473060396336</v>
      </c>
    </row>
    <row r="9" spans="3:11" ht="12.75">
      <c r="C9" t="s">
        <v>81</v>
      </c>
      <c r="D9" s="1">
        <f>D8/$B$5</f>
        <v>0.05245022927682649</v>
      </c>
      <c r="E9" s="1">
        <f>E8/$B$5</f>
        <v>0.10208874857248931</v>
      </c>
      <c r="F9" s="1">
        <f>F8/$B$5</f>
        <v>0.13061235926088935</v>
      </c>
      <c r="G9" s="1">
        <f>G8/$B$5</f>
        <v>0.10151467510555778</v>
      </c>
      <c r="H9" s="1">
        <f>H8/$B$5</f>
        <v>0.06242862270083848</v>
      </c>
      <c r="I9" s="1">
        <f>I8/$B$5</f>
        <v>0.025972546838782307</v>
      </c>
      <c r="J9" s="1">
        <f>J8/$B$5</f>
        <v>0.015023532730515314</v>
      </c>
      <c r="K9" s="1">
        <f>K8/$B$5</f>
        <v>0.004837330730078565</v>
      </c>
    </row>
    <row r="10" spans="3:11" ht="12.75">
      <c r="C10" t="s">
        <v>82</v>
      </c>
      <c r="D10" s="1">
        <f>D9*1000000</f>
        <v>52450.229276826496</v>
      </c>
      <c r="E10" s="1">
        <f>E9*1000000</f>
        <v>102088.74857248932</v>
      </c>
      <c r="F10" s="1">
        <f>F9*1000000</f>
        <v>130612.35926088935</v>
      </c>
      <c r="G10" s="1">
        <f>G9*1000000</f>
        <v>101514.67510555778</v>
      </c>
      <c r="H10" s="1">
        <f>H9*1000000</f>
        <v>62428.62270083848</v>
      </c>
      <c r="I10" s="1">
        <f>I9*1000000</f>
        <v>25972.546838782306</v>
      </c>
      <c r="J10" s="1">
        <f>J9*1000000</f>
        <v>15023.532730515313</v>
      </c>
      <c r="K10" s="1">
        <f>K9*1000000</f>
        <v>4837.3307300785655</v>
      </c>
    </row>
    <row r="12" spans="1:11" ht="12.75">
      <c r="A12" t="s">
        <v>8</v>
      </c>
      <c r="D12" t="s">
        <v>27</v>
      </c>
      <c r="E12" t="s">
        <v>28</v>
      </c>
      <c r="F12" t="s">
        <v>74</v>
      </c>
      <c r="G12" t="s">
        <v>75</v>
      </c>
      <c r="H12" t="s">
        <v>76</v>
      </c>
      <c r="I12" t="s">
        <v>77</v>
      </c>
      <c r="J12" t="s">
        <v>78</v>
      </c>
      <c r="K12" t="s">
        <v>79</v>
      </c>
    </row>
    <row r="13" spans="1:11" ht="12.75">
      <c r="A13" t="s">
        <v>80</v>
      </c>
      <c r="B13">
        <v>1850775.365002521</v>
      </c>
      <c r="C13" t="s">
        <v>52</v>
      </c>
      <c r="D13">
        <v>80388.43890210455</v>
      </c>
      <c r="E13">
        <v>175062.50151205095</v>
      </c>
      <c r="F13">
        <v>244391.59580734343</v>
      </c>
      <c r="G13">
        <v>224677.98398210356</v>
      </c>
      <c r="H13">
        <v>136430.7367864941</v>
      </c>
      <c r="I13">
        <v>51374.082507158026</v>
      </c>
      <c r="J13">
        <v>25008.673311062532</v>
      </c>
      <c r="K13">
        <v>5657.1495638355145</v>
      </c>
    </row>
    <row r="14" spans="3:11" ht="12.75">
      <c r="C14" t="s">
        <v>81</v>
      </c>
      <c r="D14" s="1">
        <f>D13/$B$13</f>
        <v>0.04343500590196966</v>
      </c>
      <c r="E14" s="1">
        <f>E13/$B$13</f>
        <v>0.09458873552264539</v>
      </c>
      <c r="F14" s="1">
        <f>F13/$B$13</f>
        <v>0.1320482217500288</v>
      </c>
      <c r="G14" s="1">
        <f>G13/$B$13</f>
        <v>0.12139667959206789</v>
      </c>
      <c r="H14" s="1">
        <f>H13/$B$13</f>
        <v>0.0737154488688087</v>
      </c>
      <c r="I14" s="1">
        <f>I13/$B$13</f>
        <v>0.027758140441364716</v>
      </c>
      <c r="J14" s="1">
        <f>J13/$B$13</f>
        <v>0.013512538465751874</v>
      </c>
      <c r="K14" s="1">
        <f>K13/$B$13</f>
        <v>0.003056637596766266</v>
      </c>
    </row>
    <row r="15" spans="3:11" ht="12.75">
      <c r="C15" t="s">
        <v>82</v>
      </c>
      <c r="D15" s="1">
        <f>D14*1000000</f>
        <v>43435.00590196966</v>
      </c>
      <c r="E15" s="1">
        <f>E14*1000000</f>
        <v>94588.7355226454</v>
      </c>
      <c r="F15" s="1">
        <f>F14*1000000</f>
        <v>132048.2217500288</v>
      </c>
      <c r="G15" s="1">
        <f>G14*1000000</f>
        <v>121396.67959206789</v>
      </c>
      <c r="H15" s="1">
        <f>H14*1000000</f>
        <v>73715.4488688087</v>
      </c>
      <c r="I15" s="1">
        <f>I14*1000000</f>
        <v>27758.140441364718</v>
      </c>
      <c r="J15" s="1">
        <f>J14*1000000</f>
        <v>13512.538465751873</v>
      </c>
      <c r="K15" s="1">
        <f>K14*1000000</f>
        <v>3056.6375967662657</v>
      </c>
    </row>
    <row r="16" spans="3:11" ht="12.75">
      <c r="C16" t="s">
        <v>53</v>
      </c>
      <c r="D16">
        <v>74245.74863043298</v>
      </c>
      <c r="E16">
        <v>161562.7930926603</v>
      </c>
      <c r="F16">
        <v>232394.18927574574</v>
      </c>
      <c r="G16">
        <v>216964.80032210343</v>
      </c>
      <c r="H16">
        <v>131069.74843700614</v>
      </c>
      <c r="I16">
        <v>51835.12539796279</v>
      </c>
      <c r="J16">
        <v>29847.996386955834</v>
      </c>
      <c r="K16">
        <v>9863.801087501333</v>
      </c>
    </row>
    <row r="17" spans="3:11" ht="12.75">
      <c r="C17" t="s">
        <v>81</v>
      </c>
      <c r="D17" s="1">
        <f>D16/$B$13</f>
        <v>0.04011602382136302</v>
      </c>
      <c r="E17" s="1">
        <f>E16/$B$13</f>
        <v>0.08729465290480577</v>
      </c>
      <c r="F17" s="1">
        <f>F16/$B$13</f>
        <v>0.12556585400380516</v>
      </c>
      <c r="G17" s="1">
        <f>G16/$B$13</f>
        <v>0.11722913781155062</v>
      </c>
      <c r="H17" s="1">
        <f>H16/$B$13</f>
        <v>0.07081883134792406</v>
      </c>
      <c r="I17" s="1">
        <f>I16/$B$13</f>
        <v>0.02800724840958329</v>
      </c>
      <c r="J17" s="1">
        <f>J16/$B$13</f>
        <v>0.016127292891060917</v>
      </c>
      <c r="K17" s="1">
        <f>K16/$B$13</f>
        <v>0.0053295506705039256</v>
      </c>
    </row>
    <row r="18" spans="3:11" ht="12.75">
      <c r="C18" t="s">
        <v>82</v>
      </c>
      <c r="D18" s="1">
        <f>D17*1000000</f>
        <v>40116.02382136302</v>
      </c>
      <c r="E18" s="1">
        <f>E17*1000000</f>
        <v>87294.65290480577</v>
      </c>
      <c r="F18" s="1">
        <f>F17*1000000</f>
        <v>125565.85400380516</v>
      </c>
      <c r="G18" s="1">
        <f>G17*1000000</f>
        <v>117229.13781155061</v>
      </c>
      <c r="H18" s="1">
        <f>H17*1000000</f>
        <v>70818.83134792406</v>
      </c>
      <c r="I18" s="1">
        <f>I17*1000000</f>
        <v>28007.248409583288</v>
      </c>
      <c r="J18" s="1">
        <f>J17*1000000</f>
        <v>16127.292891060917</v>
      </c>
      <c r="K18" s="1">
        <f>K17*1000000</f>
        <v>5329.550670503925</v>
      </c>
    </row>
    <row r="20" spans="1:11" ht="12.75">
      <c r="A20" t="s">
        <v>51</v>
      </c>
      <c r="D20" t="s">
        <v>27</v>
      </c>
      <c r="E20" t="s">
        <v>28</v>
      </c>
      <c r="F20" t="s">
        <v>74</v>
      </c>
      <c r="G20" t="s">
        <v>75</v>
      </c>
      <c r="H20" t="s">
        <v>76</v>
      </c>
      <c r="I20" t="s">
        <v>77</v>
      </c>
      <c r="J20" t="s">
        <v>78</v>
      </c>
      <c r="K20" t="s">
        <v>79</v>
      </c>
    </row>
    <row r="21" spans="1:11" ht="12.75">
      <c r="A21" t="s">
        <v>80</v>
      </c>
      <c r="B21">
        <v>477190.03600019997</v>
      </c>
      <c r="C21" t="s">
        <v>52</v>
      </c>
      <c r="D21">
        <v>15083.624601876474</v>
      </c>
      <c r="E21">
        <v>37984.51198961034</v>
      </c>
      <c r="F21">
        <v>59357.09564240669</v>
      </c>
      <c r="G21">
        <v>51489.33627308546</v>
      </c>
      <c r="H21">
        <v>37100.27162184025</v>
      </c>
      <c r="I21">
        <v>17205.130679240887</v>
      </c>
      <c r="J21">
        <v>9358.569929494257</v>
      </c>
      <c r="K21">
        <v>2046.8130230306526</v>
      </c>
    </row>
    <row r="22" spans="3:11" ht="12.75">
      <c r="C22" t="s">
        <v>81</v>
      </c>
      <c r="D22" s="1">
        <f>D21/$B$21</f>
        <v>0.03160926143451611</v>
      </c>
      <c r="E22" s="1">
        <f>E21/$B$21</f>
        <v>0.07960038794606018</v>
      </c>
      <c r="F22" s="1">
        <f>F21/$B$21</f>
        <v>0.12438879935536168</v>
      </c>
      <c r="G22" s="1">
        <f>G21/$B$21</f>
        <v>0.10790111357870825</v>
      </c>
      <c r="H22" s="1">
        <f>H21/$B$21</f>
        <v>0.07774737279263874</v>
      </c>
      <c r="I22" s="1">
        <f>I21/$B$21</f>
        <v>0.036055092062386815</v>
      </c>
      <c r="J22" s="1">
        <f>J21/$B$21</f>
        <v>0.01961183013781607</v>
      </c>
      <c r="K22" s="1">
        <f>K21/$B$21</f>
        <v>0.0042893037754664996</v>
      </c>
    </row>
    <row r="23" spans="3:11" ht="12.75">
      <c r="C23" t="s">
        <v>82</v>
      </c>
      <c r="D23" s="1">
        <f>D22*1000000</f>
        <v>31609.26143451611</v>
      </c>
      <c r="E23" s="1">
        <f>E22*1000000</f>
        <v>79600.38794606019</v>
      </c>
      <c r="F23" s="1">
        <f>F22*1000000</f>
        <v>124388.79935536168</v>
      </c>
      <c r="G23" s="1">
        <f>G22*1000000</f>
        <v>107901.11357870826</v>
      </c>
      <c r="H23" s="1">
        <f>H22*1000000</f>
        <v>77747.37279263874</v>
      </c>
      <c r="I23" s="1">
        <f>I22*1000000</f>
        <v>36055.092062386815</v>
      </c>
      <c r="J23" s="1">
        <f>J22*1000000</f>
        <v>19611.830137816072</v>
      </c>
      <c r="K23" s="1">
        <f>K22*1000000</f>
        <v>4289.303775466499</v>
      </c>
    </row>
    <row r="24" spans="3:11" ht="12.75">
      <c r="C24" t="s">
        <v>53</v>
      </c>
      <c r="D24">
        <v>14397.366647323013</v>
      </c>
      <c r="E24">
        <v>36427.13732695699</v>
      </c>
      <c r="F24">
        <v>57701.617300994505</v>
      </c>
      <c r="G24">
        <v>51881.07213417533</v>
      </c>
      <c r="H24">
        <v>40994.59626942964</v>
      </c>
      <c r="I24">
        <v>23173.53946214377</v>
      </c>
      <c r="J24">
        <v>17126.155448098503</v>
      </c>
      <c r="K24">
        <v>5863.197650493263</v>
      </c>
    </row>
    <row r="25" spans="3:11" ht="12.75">
      <c r="C25" t="s">
        <v>81</v>
      </c>
      <c r="D25" s="1">
        <f>D24/$B$21</f>
        <v>0.030171138458802566</v>
      </c>
      <c r="E25" s="1">
        <f>E24/$B$21</f>
        <v>0.07633675177354651</v>
      </c>
      <c r="F25" s="1">
        <f>F24/$B$21</f>
        <v>0.12091957699839802</v>
      </c>
      <c r="G25" s="1">
        <f>G24/$B$21</f>
        <v>0.10872203570938264</v>
      </c>
      <c r="H25" s="1">
        <f>H24/$B$21</f>
        <v>0.08590832409881345</v>
      </c>
      <c r="I25" s="1">
        <f>I24/$B$21</f>
        <v>0.04856249651896348</v>
      </c>
      <c r="J25" s="1">
        <f>J24/$B$21</f>
        <v>0.03588959147523216</v>
      </c>
      <c r="K25" s="1">
        <f>K24/$B$21</f>
        <v>0.012286923883906925</v>
      </c>
    </row>
    <row r="26" spans="3:11" ht="12.75">
      <c r="C26" t="s">
        <v>82</v>
      </c>
      <c r="D26" s="1">
        <f>D25*1000000</f>
        <v>30171.138458802565</v>
      </c>
      <c r="E26" s="1">
        <f>E25*1000000</f>
        <v>76336.75177354651</v>
      </c>
      <c r="F26" s="1">
        <f>F25*1000000</f>
        <v>120919.57699839801</v>
      </c>
      <c r="G26" s="1">
        <f>G25*1000000</f>
        <v>108722.03570938265</v>
      </c>
      <c r="H26" s="1">
        <f>H25*1000000</f>
        <v>85908.32409881345</v>
      </c>
      <c r="I26" s="1">
        <f>I25*1000000</f>
        <v>48562.49651896348</v>
      </c>
      <c r="J26" s="1">
        <f>J25*1000000</f>
        <v>35889.591475232155</v>
      </c>
      <c r="K26" s="1">
        <f>K25*1000000</f>
        <v>12286.923883906926</v>
      </c>
    </row>
    <row r="28" spans="1:11" ht="12.75">
      <c r="A28" t="s">
        <v>9</v>
      </c>
      <c r="D28" t="s">
        <v>27</v>
      </c>
      <c r="E28" t="s">
        <v>28</v>
      </c>
      <c r="F28" t="s">
        <v>74</v>
      </c>
      <c r="G28" t="s">
        <v>75</v>
      </c>
      <c r="H28" t="s">
        <v>76</v>
      </c>
      <c r="I28" t="s">
        <v>77</v>
      </c>
      <c r="J28" t="s">
        <v>78</v>
      </c>
      <c r="K28" t="s">
        <v>79</v>
      </c>
    </row>
    <row r="29" spans="1:11" ht="12.75">
      <c r="A29" t="s">
        <v>80</v>
      </c>
      <c r="B29">
        <v>526137.5240000999</v>
      </c>
      <c r="C29" t="s">
        <v>52</v>
      </c>
      <c r="D29">
        <v>28461.303382915186</v>
      </c>
      <c r="E29">
        <v>55839.28490264286</v>
      </c>
      <c r="F29">
        <v>73715.96391922377</v>
      </c>
      <c r="G29">
        <v>52466.93002363796</v>
      </c>
      <c r="H29">
        <v>30779.326538708818</v>
      </c>
      <c r="I29">
        <v>11161.240534956194</v>
      </c>
      <c r="J29">
        <v>5973.731114023524</v>
      </c>
      <c r="K29">
        <v>1986.5463297005053</v>
      </c>
    </row>
    <row r="30" spans="3:11" ht="12.75">
      <c r="C30" t="s">
        <v>81</v>
      </c>
      <c r="D30" s="1">
        <f>D29/$B$29</f>
        <v>0.054094798573822656</v>
      </c>
      <c r="E30" s="1">
        <f>E29/$B$29</f>
        <v>0.10613058821220336</v>
      </c>
      <c r="F30" s="1">
        <f>F29/$B$29</f>
        <v>0.1401077865702842</v>
      </c>
      <c r="G30" s="1">
        <f>G29/$B$29</f>
        <v>0.09972094296704828</v>
      </c>
      <c r="H30" s="1">
        <f>H29/$B$29</f>
        <v>0.058500534812078855</v>
      </c>
      <c r="I30" s="1">
        <f>I29/$B$29</f>
        <v>0.021213542136473952</v>
      </c>
      <c r="J30" s="1">
        <f>J29/$B$29</f>
        <v>0.011353934744297748</v>
      </c>
      <c r="K30" s="1">
        <f>K29/$B$29</f>
        <v>0.003775716878350095</v>
      </c>
    </row>
    <row r="31" spans="3:11" ht="12.75">
      <c r="C31" t="s">
        <v>82</v>
      </c>
      <c r="D31" s="1">
        <f>D30*1000000</f>
        <v>54094.798573822656</v>
      </c>
      <c r="E31" s="1">
        <f>E30*1000000</f>
        <v>106130.58821220337</v>
      </c>
      <c r="F31" s="1">
        <f>F30*1000000</f>
        <v>140107.7865702842</v>
      </c>
      <c r="G31" s="1">
        <f>G30*1000000</f>
        <v>99720.94296704828</v>
      </c>
      <c r="H31" s="1">
        <f>H30*1000000</f>
        <v>58500.534812078855</v>
      </c>
      <c r="I31" s="1">
        <f>I30*1000000</f>
        <v>21213.542136473952</v>
      </c>
      <c r="J31" s="1">
        <f>J30*1000000</f>
        <v>11353.934744297749</v>
      </c>
      <c r="K31" s="1">
        <f>K30*1000000</f>
        <v>3775.716878350095</v>
      </c>
    </row>
    <row r="32" spans="3:11" ht="12.75">
      <c r="C32" t="s">
        <v>53</v>
      </c>
      <c r="D32">
        <v>27367.203638532817</v>
      </c>
      <c r="E32">
        <v>53876.622259150696</v>
      </c>
      <c r="F32">
        <v>73282.38107725739</v>
      </c>
      <c r="G32">
        <v>54789.91416315369</v>
      </c>
      <c r="H32">
        <v>32941.61754141821</v>
      </c>
      <c r="I32">
        <v>12748.957746710974</v>
      </c>
      <c r="J32">
        <v>7628.565551009176</v>
      </c>
      <c r="K32">
        <v>3117.935277058217</v>
      </c>
    </row>
    <row r="33" spans="3:11" ht="12.75">
      <c r="C33" t="s">
        <v>81</v>
      </c>
      <c r="D33" s="1">
        <f>D32/$B$29</f>
        <v>0.05201530472578045</v>
      </c>
      <c r="E33" s="1">
        <f>E32/$B$29</f>
        <v>0.10240026571292503</v>
      </c>
      <c r="F33" s="1">
        <f>F32/$B$29</f>
        <v>0.13928370004881743</v>
      </c>
      <c r="G33" s="1">
        <f>G32/$B$29</f>
        <v>0.10413610826804151</v>
      </c>
      <c r="H33" s="1">
        <f>H32/$B$29</f>
        <v>0.06261027970590434</v>
      </c>
      <c r="I33" s="1">
        <f>I32/$B$29</f>
        <v>0.024231226941928884</v>
      </c>
      <c r="J33" s="1">
        <f>J32/$B$29</f>
        <v>0.014499185484834812</v>
      </c>
      <c r="K33" s="1">
        <f>K32/$B$29</f>
        <v>0.005926084217208627</v>
      </c>
    </row>
    <row r="34" spans="3:11" ht="12.75">
      <c r="C34" t="s">
        <v>82</v>
      </c>
      <c r="D34" s="1">
        <f>D33*1000000</f>
        <v>52015.30472578045</v>
      </c>
      <c r="E34" s="1">
        <f>E33*1000000</f>
        <v>102400.26571292503</v>
      </c>
      <c r="F34" s="1">
        <f>F33*1000000</f>
        <v>139283.70004881744</v>
      </c>
      <c r="G34" s="1">
        <f>G33*1000000</f>
        <v>104136.10826804151</v>
      </c>
      <c r="H34" s="1">
        <f>H33*1000000</f>
        <v>62610.27970590434</v>
      </c>
      <c r="I34" s="1">
        <f>I33*1000000</f>
        <v>24231.226941928882</v>
      </c>
      <c r="J34" s="1">
        <f>J33*1000000</f>
        <v>14499.185484834812</v>
      </c>
      <c r="K34" s="1">
        <f>K33*1000000</f>
        <v>5926.084217208627</v>
      </c>
    </row>
    <row r="35" ht="12.75">
      <c r="E35" s="1">
        <f>SUM(E29,E32)</f>
        <v>109715.90716179356</v>
      </c>
    </row>
    <row r="36" spans="1:11" ht="12.75">
      <c r="A36" t="s">
        <v>83</v>
      </c>
      <c r="D36" t="s">
        <v>27</v>
      </c>
      <c r="E36" t="s">
        <v>28</v>
      </c>
      <c r="F36" t="s">
        <v>74</v>
      </c>
      <c r="G36" t="s">
        <v>75</v>
      </c>
      <c r="H36" t="s">
        <v>76</v>
      </c>
      <c r="I36" t="s">
        <v>77</v>
      </c>
      <c r="J36" t="s">
        <v>78</v>
      </c>
      <c r="K36" t="s">
        <v>79</v>
      </c>
    </row>
    <row r="37" spans="1:11" ht="12.75">
      <c r="A37" t="s">
        <v>80</v>
      </c>
      <c r="B37">
        <v>309762.31500020006</v>
      </c>
      <c r="C37" t="s">
        <v>52</v>
      </c>
      <c r="D37">
        <v>19047.895</v>
      </c>
      <c r="E37">
        <v>38598.111</v>
      </c>
      <c r="F37">
        <v>46894.925</v>
      </c>
      <c r="G37">
        <v>28733.889</v>
      </c>
      <c r="H37">
        <v>15136.909</v>
      </c>
      <c r="I37">
        <v>5368.82</v>
      </c>
      <c r="J37">
        <v>2797.238</v>
      </c>
      <c r="K37">
        <v>617.4940001000001</v>
      </c>
    </row>
    <row r="38" spans="3:11" ht="12.75">
      <c r="C38" t="s">
        <v>81</v>
      </c>
      <c r="D38" s="1">
        <f>D37/$B$37</f>
        <v>0.06149197006094075</v>
      </c>
      <c r="E38" s="1">
        <f>E37/$B$37</f>
        <v>0.12460557379284523</v>
      </c>
      <c r="F38" s="1">
        <f>F37/$B$37</f>
        <v>0.15139002625277292</v>
      </c>
      <c r="G38" s="1">
        <f>G37/$B$37</f>
        <v>0.0927610868351802</v>
      </c>
      <c r="H38" s="1">
        <f>H37/$B$37</f>
        <v>0.048866205690612244</v>
      </c>
      <c r="I38" s="1">
        <f>I37/$B$37</f>
        <v>0.017332063133620797</v>
      </c>
      <c r="J38" s="1">
        <f>J37/$B$37</f>
        <v>0.009030272129772123</v>
      </c>
      <c r="K38" s="1">
        <f>K37/$B$37</f>
        <v>0.0019934445547374</v>
      </c>
    </row>
    <row r="39" spans="3:11" ht="12.75">
      <c r="C39" t="s">
        <v>82</v>
      </c>
      <c r="D39" s="1">
        <f>D38*1000000</f>
        <v>61491.97006094075</v>
      </c>
      <c r="E39" s="1">
        <f>E38*1000000</f>
        <v>124605.57379284523</v>
      </c>
      <c r="F39" s="1">
        <f>F38*1000000</f>
        <v>151390.02625277292</v>
      </c>
      <c r="G39" s="1">
        <f>G38*1000000</f>
        <v>92761.08683518019</v>
      </c>
      <c r="H39" s="1">
        <f>H38*1000000</f>
        <v>48866.205690612245</v>
      </c>
      <c r="I39" s="1">
        <f>I38*1000000</f>
        <v>17332.063133620795</v>
      </c>
      <c r="J39" s="1">
        <f>J38*1000000</f>
        <v>9030.272129772122</v>
      </c>
      <c r="K39" s="1">
        <f>K38*1000000</f>
        <v>1993.4445547374</v>
      </c>
    </row>
    <row r="40" spans="3:11" ht="12.75">
      <c r="C40" t="s">
        <v>53</v>
      </c>
      <c r="D40">
        <v>18232.809</v>
      </c>
      <c r="E40">
        <v>36900.076</v>
      </c>
      <c r="F40">
        <v>45059.846</v>
      </c>
      <c r="G40">
        <v>27647.73</v>
      </c>
      <c r="H40">
        <v>15144.348</v>
      </c>
      <c r="I40">
        <v>5703.748</v>
      </c>
      <c r="J40">
        <v>3084.448</v>
      </c>
      <c r="K40">
        <v>794.0290001000001</v>
      </c>
    </row>
    <row r="41" spans="3:11" ht="12.75">
      <c r="C41" t="s">
        <v>81</v>
      </c>
      <c r="D41" s="1">
        <f>D40/$B$37</f>
        <v>0.058860642877066</v>
      </c>
      <c r="E41" s="1">
        <f>E40/$B$37</f>
        <v>0.11912383854690707</v>
      </c>
      <c r="F41" s="1">
        <f>F40/$B$37</f>
        <v>0.14546587437523154</v>
      </c>
      <c r="G41" s="1">
        <f>G40/$B$37</f>
        <v>0.08925465965729931</v>
      </c>
      <c r="H41" s="1">
        <f>H40/$B$37</f>
        <v>0.048890220877869595</v>
      </c>
      <c r="I41" s="1">
        <f>I40/$B$37</f>
        <v>0.018413305052928455</v>
      </c>
      <c r="J41" s="1">
        <f>J40/$B$37</f>
        <v>0.009957466904900965</v>
      </c>
      <c r="K41" s="1">
        <f>K40/$B$37</f>
        <v>0.0025633492573152008</v>
      </c>
    </row>
    <row r="42" spans="3:11" ht="12.75">
      <c r="C42" t="s">
        <v>82</v>
      </c>
      <c r="D42" s="1">
        <f>D41*1000000</f>
        <v>58860.642877066</v>
      </c>
      <c r="E42" s="1">
        <f>E41*1000000</f>
        <v>119123.83854690708</v>
      </c>
      <c r="F42" s="1">
        <f>F41*1000000</f>
        <v>145465.87437523153</v>
      </c>
      <c r="G42" s="1">
        <f>G41*1000000</f>
        <v>89254.65965729931</v>
      </c>
      <c r="H42" s="1">
        <f>H41*1000000</f>
        <v>48890.22087786959</v>
      </c>
      <c r="I42" s="1">
        <f>I41*1000000</f>
        <v>18413.305052928456</v>
      </c>
      <c r="J42" s="1">
        <f>J41*1000000</f>
        <v>9957.466904900964</v>
      </c>
      <c r="K42" s="1">
        <f>K41*1000000</f>
        <v>2563.3492573152007</v>
      </c>
    </row>
    <row r="44" spans="1:11" ht="12.75">
      <c r="A44" t="s">
        <v>84</v>
      </c>
      <c r="D44" t="s">
        <v>27</v>
      </c>
      <c r="E44" t="s">
        <v>28</v>
      </c>
      <c r="F44" t="s">
        <v>74</v>
      </c>
      <c r="G44" t="s">
        <v>75</v>
      </c>
      <c r="H44" t="s">
        <v>76</v>
      </c>
      <c r="I44" t="s">
        <v>77</v>
      </c>
      <c r="J44" t="s">
        <v>78</v>
      </c>
      <c r="K44" t="s">
        <v>79</v>
      </c>
    </row>
    <row r="45" spans="1:11" ht="12.75">
      <c r="A45" t="s">
        <v>80</v>
      </c>
      <c r="B45">
        <v>1387872.8080002998</v>
      </c>
      <c r="C45" t="s">
        <v>52</v>
      </c>
      <c r="D45">
        <v>88338.907</v>
      </c>
      <c r="E45">
        <v>164165.177</v>
      </c>
      <c r="F45">
        <v>194809.546</v>
      </c>
      <c r="G45">
        <v>139151.041</v>
      </c>
      <c r="H45">
        <v>80711.585</v>
      </c>
      <c r="I45">
        <v>29766.962</v>
      </c>
      <c r="J45">
        <v>14121.39</v>
      </c>
      <c r="K45">
        <v>3593.8900002</v>
      </c>
    </row>
    <row r="46" spans="3:11" ht="12.75">
      <c r="C46" t="s">
        <v>81</v>
      </c>
      <c r="D46" s="1">
        <f>D45/$B$45</f>
        <v>0.06365057841812037</v>
      </c>
      <c r="E46" s="1">
        <f>E45/$B$45</f>
        <v>0.11828546251045545</v>
      </c>
      <c r="F46" s="1">
        <f>F45/$B$45</f>
        <v>0.1403655615104161</v>
      </c>
      <c r="G46" s="1">
        <f>G45/$B$45</f>
        <v>0.1002620990899693</v>
      </c>
      <c r="H46" s="1">
        <f>H45/$B$45</f>
        <v>0.058154886049170705</v>
      </c>
      <c r="I46" s="1">
        <f>I45/$B$45</f>
        <v>0.02144790345945993</v>
      </c>
      <c r="J46" s="1">
        <f>J45/$B$45</f>
        <v>0.010174844494825601</v>
      </c>
      <c r="K46" s="1">
        <f>K45/$B$45</f>
        <v>0.002589495218497878</v>
      </c>
    </row>
    <row r="47" spans="3:11" ht="12.75">
      <c r="C47" t="s">
        <v>82</v>
      </c>
      <c r="D47" s="1">
        <f>D46*1000000</f>
        <v>63650.57841812037</v>
      </c>
      <c r="E47" s="1">
        <f>E46*1000000</f>
        <v>118285.46251045544</v>
      </c>
      <c r="F47" s="1">
        <f>F46*1000000</f>
        <v>140365.5615104161</v>
      </c>
      <c r="G47" s="1">
        <f>G46*1000000</f>
        <v>100262.0990899693</v>
      </c>
      <c r="H47" s="1">
        <f>H46*1000000</f>
        <v>58154.8860491707</v>
      </c>
      <c r="I47" s="1">
        <f>I46*1000000</f>
        <v>21447.90345945993</v>
      </c>
      <c r="J47" s="1">
        <f>J46*1000000</f>
        <v>10174.844494825602</v>
      </c>
      <c r="K47" s="1">
        <f>K46*1000000</f>
        <v>2589.495218497878</v>
      </c>
    </row>
    <row r="48" spans="3:11" ht="12.75">
      <c r="C48" t="s">
        <v>53</v>
      </c>
      <c r="D48">
        <v>83367.085</v>
      </c>
      <c r="E48">
        <v>153550.161</v>
      </c>
      <c r="F48">
        <v>179992.96</v>
      </c>
      <c r="G48">
        <v>127834.845</v>
      </c>
      <c r="H48">
        <v>77213.764</v>
      </c>
      <c r="I48">
        <v>31380.004</v>
      </c>
      <c r="J48">
        <v>15602.795</v>
      </c>
      <c r="K48">
        <v>4272.6960001</v>
      </c>
    </row>
    <row r="49" spans="3:11" ht="12.75">
      <c r="C49" t="s">
        <v>81</v>
      </c>
      <c r="D49" s="1">
        <f>D48/$B$45</f>
        <v>0.06006824582154505</v>
      </c>
      <c r="E49" s="1">
        <f>E48/$B$45</f>
        <v>0.11063705558237785</v>
      </c>
      <c r="F49" s="1">
        <f>F48/$B$45</f>
        <v>0.12968980944250988</v>
      </c>
      <c r="G49" s="1">
        <f>G48/$B$45</f>
        <v>0.09210847295451327</v>
      </c>
      <c r="H49" s="1">
        <f>H48/$B$45</f>
        <v>0.055634611150896844</v>
      </c>
      <c r="I49" s="1">
        <f>I48/$B$45</f>
        <v>0.022610143969326344</v>
      </c>
      <c r="J49" s="1">
        <f>J48/$B$45</f>
        <v>0.011242236975938093</v>
      </c>
      <c r="K49" s="1">
        <f>K48/$B$45</f>
        <v>0.0030785933519774504</v>
      </c>
    </row>
    <row r="50" spans="3:11" ht="12.75">
      <c r="C50" t="s">
        <v>82</v>
      </c>
      <c r="D50" s="1">
        <f>D49*1000000</f>
        <v>60068.245821545046</v>
      </c>
      <c r="E50" s="1">
        <f>E49*1000000</f>
        <v>110637.05558237786</v>
      </c>
      <c r="F50" s="1">
        <f>F49*1000000</f>
        <v>129689.80944250988</v>
      </c>
      <c r="G50" s="1">
        <f>G49*1000000</f>
        <v>92108.47295451327</v>
      </c>
      <c r="H50" s="1">
        <f>H49*1000000</f>
        <v>55634.611150896846</v>
      </c>
      <c r="I50" s="1">
        <f>I49*1000000</f>
        <v>22610.143969326346</v>
      </c>
      <c r="J50" s="1">
        <f>J49*1000000</f>
        <v>11242.236975938093</v>
      </c>
      <c r="K50" s="1">
        <f>K49*1000000</f>
        <v>3078.5933519774503</v>
      </c>
    </row>
    <row r="52" spans="1:11" ht="12.75">
      <c r="A52" t="s">
        <v>12</v>
      </c>
      <c r="D52" t="s">
        <v>27</v>
      </c>
      <c r="E52" t="s">
        <v>28</v>
      </c>
      <c r="F52" t="s">
        <v>74</v>
      </c>
      <c r="G52" t="s">
        <v>75</v>
      </c>
      <c r="H52" t="s">
        <v>76</v>
      </c>
      <c r="I52" t="s">
        <v>77</v>
      </c>
      <c r="J52" t="s">
        <v>78</v>
      </c>
      <c r="K52" t="s">
        <v>79</v>
      </c>
    </row>
    <row r="53" spans="1:11" ht="12.75">
      <c r="A53" t="s">
        <v>80</v>
      </c>
      <c r="B53">
        <v>667662.5970011</v>
      </c>
      <c r="C53" t="s">
        <v>52</v>
      </c>
      <c r="D53">
        <v>57116.701985709864</v>
      </c>
      <c r="E53">
        <v>91675.29748845976</v>
      </c>
      <c r="F53">
        <v>93064.09501579303</v>
      </c>
      <c r="G53">
        <v>48960.89783586587</v>
      </c>
      <c r="H53">
        <v>26327.542765176648</v>
      </c>
      <c r="I53">
        <v>9243.431941313991</v>
      </c>
      <c r="J53">
        <v>4065.4702309132913</v>
      </c>
      <c r="K53">
        <v>890.6046643438509</v>
      </c>
    </row>
    <row r="54" spans="3:11" ht="12.75">
      <c r="C54" t="s">
        <v>81</v>
      </c>
      <c r="D54" s="1">
        <f>D53/$B$53</f>
        <v>0.0855472543201574</v>
      </c>
      <c r="E54" s="1">
        <f>E53/$B$53</f>
        <v>0.1373078226940257</v>
      </c>
      <c r="F54" s="1">
        <f>F53/$B$53</f>
        <v>0.13938791154964117</v>
      </c>
      <c r="G54" s="1">
        <f>G53/$B$53</f>
        <v>0.073331796712562</v>
      </c>
      <c r="H54" s="1">
        <f>H53/$B$53</f>
        <v>0.03943240625344372</v>
      </c>
      <c r="I54" s="1">
        <f>I53/$B$53</f>
        <v>0.013844465726898826</v>
      </c>
      <c r="J54" s="1">
        <f>J53/$B$53</f>
        <v>0.006089108854043824</v>
      </c>
      <c r="K54" s="1">
        <f>K53/$B$53</f>
        <v>0.0013339142679912376</v>
      </c>
    </row>
    <row r="55" spans="3:11" ht="12.75">
      <c r="C55" t="s">
        <v>82</v>
      </c>
      <c r="D55" s="1">
        <f>D54*1000000</f>
        <v>85547.2543201574</v>
      </c>
      <c r="E55" s="1">
        <f>E54*1000000</f>
        <v>137307.8226940257</v>
      </c>
      <c r="F55" s="1">
        <f>F54*1000000</f>
        <v>139387.91154964117</v>
      </c>
      <c r="G55" s="1">
        <f>G54*1000000</f>
        <v>73331.796712562</v>
      </c>
      <c r="H55" s="1">
        <f>H54*1000000</f>
        <v>39432.40625344372</v>
      </c>
      <c r="I55" s="1">
        <f>I54*1000000</f>
        <v>13844.465726898827</v>
      </c>
      <c r="J55" s="1">
        <f>J54*1000000</f>
        <v>6089.108854043824</v>
      </c>
      <c r="K55" s="1">
        <f>K54*1000000</f>
        <v>1333.9142679912375</v>
      </c>
    </row>
    <row r="56" spans="3:11" ht="12.75">
      <c r="C56" t="s">
        <v>53</v>
      </c>
      <c r="D56">
        <v>56160.032147549544</v>
      </c>
      <c r="E56">
        <v>90545.559186899</v>
      </c>
      <c r="F56">
        <v>93322.57465337207</v>
      </c>
      <c r="G56">
        <v>50686.262038738256</v>
      </c>
      <c r="H56">
        <v>28452.568270885604</v>
      </c>
      <c r="I56">
        <v>10712.14634860259</v>
      </c>
      <c r="J56">
        <v>5114.709212723943</v>
      </c>
      <c r="K56">
        <v>1324.703214752674</v>
      </c>
    </row>
    <row r="57" spans="3:11" ht="12.75">
      <c r="C57" t="s">
        <v>81</v>
      </c>
      <c r="D57" s="1">
        <f>D56/$B$53</f>
        <v>0.0841143901123115</v>
      </c>
      <c r="E57" s="1">
        <f>E56/$B$53</f>
        <v>0.13561574303188026</v>
      </c>
      <c r="F57" s="1">
        <f>F56/$B$53</f>
        <v>0.13977505265764995</v>
      </c>
      <c r="G57" s="1">
        <f>G56/$B$53</f>
        <v>0.07591598251332739</v>
      </c>
      <c r="H57" s="1">
        <f>H56/$B$53</f>
        <v>0.04261518976603497</v>
      </c>
      <c r="I57" s="1">
        <f>I56/$B$53</f>
        <v>0.01604425108837562</v>
      </c>
      <c r="J57" s="1">
        <f>J56/$B$53</f>
        <v>0.007660619653845184</v>
      </c>
      <c r="K57" s="1">
        <f>K56/$B$53</f>
        <v>0.0019840907978112957</v>
      </c>
    </row>
    <row r="58" spans="3:11" ht="12.75">
      <c r="C58" t="s">
        <v>82</v>
      </c>
      <c r="D58" s="1">
        <f>D57*1000000</f>
        <v>84114.3901123115</v>
      </c>
      <c r="E58" s="1">
        <f>E57*1000000</f>
        <v>135615.74303188027</v>
      </c>
      <c r="F58" s="1">
        <f>F57*1000000</f>
        <v>139775.05265764994</v>
      </c>
      <c r="G58" s="1">
        <f>G57*1000000</f>
        <v>75915.98251332738</v>
      </c>
      <c r="H58" s="1">
        <f>H57*1000000</f>
        <v>42615.18976603497</v>
      </c>
      <c r="I58" s="1">
        <f>I57*1000000</f>
        <v>16044.251088375619</v>
      </c>
      <c r="J58" s="1">
        <f>J57*1000000</f>
        <v>7660.619653845184</v>
      </c>
      <c r="K58" s="1">
        <f>K57*1000000</f>
        <v>1984.0907978112957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Berger</dc:creator>
  <cp:keywords/>
  <dc:description/>
  <cp:lastModifiedBy>Alexander Berger</cp:lastModifiedBy>
  <dcterms:created xsi:type="dcterms:W3CDTF">2011-09-08T16:12:28Z</dcterms:created>
  <dcterms:modified xsi:type="dcterms:W3CDTF">2011-09-08T16:12:38Z</dcterms:modified>
  <cp:category/>
  <cp:version/>
  <cp:contentType/>
  <cp:contentStatus/>
  <cp:revision>2</cp:revision>
</cp:coreProperties>
</file>